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etaeppli/Library/CloudStorage/GoogleDrive-meret.aeppli@epfl.ch/My Drive/Teaching/ENV-200/2023/Week 5 CNW Metal Speciation/"/>
    </mc:Choice>
  </mc:AlternateContent>
  <xr:revisionPtr revIDLastSave="0" documentId="13_ncr:1_{86611887-E462-9E43-9966-F2F9D4009BAC}" xr6:coauthVersionLast="47" xr6:coauthVersionMax="47" xr10:uidLastSave="{00000000-0000-0000-0000-000000000000}"/>
  <bookViews>
    <workbookView xWindow="42280" yWindow="4540" windowWidth="33360" windowHeight="23440" activeTab="3" xr2:uid="{6F35C5C2-17D8-DE4E-A575-DEFC31B9FC20}"/>
  </bookViews>
  <sheets>
    <sheet name="Ex 3 Cu hydrolysis" sheetId="4" r:id="rId1"/>
    <sheet name="Ex 4 Hydrolysis of iron" sheetId="1" r:id="rId2"/>
    <sheet name="Example complex distribution" sheetId="2" r:id="rId3"/>
    <sheet name="Ex 5 Flocculation Al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2" i="5"/>
  <c r="B3" i="5"/>
  <c r="C3" i="5"/>
  <c r="D3" i="5"/>
  <c r="F3" i="5"/>
  <c r="B4" i="5"/>
  <c r="C4" i="5"/>
  <c r="D4" i="5"/>
  <c r="F4" i="5"/>
  <c r="B5" i="5"/>
  <c r="C5" i="5"/>
  <c r="D5" i="5"/>
  <c r="F5" i="5"/>
  <c r="B6" i="5"/>
  <c r="C6" i="5"/>
  <c r="D6" i="5"/>
  <c r="F6" i="5"/>
  <c r="B7" i="5"/>
  <c r="C7" i="5"/>
  <c r="D7" i="5"/>
  <c r="F7" i="5"/>
  <c r="B8" i="5"/>
  <c r="C8" i="5"/>
  <c r="D8" i="5"/>
  <c r="F8" i="5"/>
  <c r="B9" i="5"/>
  <c r="C9" i="5"/>
  <c r="D9" i="5"/>
  <c r="F9" i="5"/>
  <c r="B10" i="5"/>
  <c r="C10" i="5"/>
  <c r="D10" i="5"/>
  <c r="F10" i="5"/>
  <c r="B11" i="5"/>
  <c r="C11" i="5"/>
  <c r="D11" i="5"/>
  <c r="F11" i="5"/>
  <c r="B12" i="5"/>
  <c r="C12" i="5"/>
  <c r="D12" i="5"/>
  <c r="F12" i="5"/>
  <c r="B13" i="5"/>
  <c r="C13" i="5"/>
  <c r="D13" i="5"/>
  <c r="F13" i="5"/>
  <c r="B14" i="5"/>
  <c r="C14" i="5"/>
  <c r="D14" i="5"/>
  <c r="F14" i="5"/>
  <c r="B15" i="5"/>
  <c r="C15" i="5"/>
  <c r="D15" i="5"/>
  <c r="F15" i="5"/>
  <c r="B16" i="5"/>
  <c r="C16" i="5"/>
  <c r="D16" i="5"/>
  <c r="F16" i="5"/>
  <c r="F2" i="5"/>
  <c r="D2" i="5"/>
  <c r="C2" i="5"/>
  <c r="B2" i="5"/>
  <c r="A16" i="5"/>
  <c r="A14" i="5"/>
  <c r="A15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3" i="5"/>
  <c r="A56" i="4"/>
  <c r="B56" i="4"/>
  <c r="C56" i="4"/>
  <c r="D56" i="4"/>
  <c r="A57" i="4"/>
  <c r="B57" i="4"/>
  <c r="C57" i="4"/>
  <c r="D57" i="4"/>
  <c r="A58" i="4"/>
  <c r="B58" i="4"/>
  <c r="C58" i="4"/>
  <c r="D58" i="4"/>
  <c r="A59" i="4"/>
  <c r="B59" i="4"/>
  <c r="C59" i="4"/>
  <c r="D59" i="4"/>
  <c r="A60" i="4"/>
  <c r="B60" i="4"/>
  <c r="C60" i="4"/>
  <c r="D60" i="4"/>
  <c r="A61" i="4"/>
  <c r="B61" i="4"/>
  <c r="C61" i="4"/>
  <c r="D61" i="4"/>
  <c r="A34" i="4"/>
  <c r="B34" i="4"/>
  <c r="C34" i="4"/>
  <c r="D34" i="4"/>
  <c r="A35" i="4"/>
  <c r="B35" i="4"/>
  <c r="C35" i="4"/>
  <c r="D35" i="4"/>
  <c r="A36" i="4"/>
  <c r="B36" i="4"/>
  <c r="C36" i="4"/>
  <c r="D36" i="4"/>
  <c r="A37" i="4"/>
  <c r="B37" i="4"/>
  <c r="C37" i="4"/>
  <c r="D37" i="4"/>
  <c r="A38" i="4"/>
  <c r="B38" i="4"/>
  <c r="C38" i="4"/>
  <c r="D38" i="4"/>
  <c r="A39" i="4"/>
  <c r="B39" i="4"/>
  <c r="C39" i="4"/>
  <c r="D39" i="4"/>
  <c r="A40" i="4"/>
  <c r="B40" i="4"/>
  <c r="C40" i="4"/>
  <c r="D40" i="4"/>
  <c r="A41" i="4"/>
  <c r="B41" i="4"/>
  <c r="C41" i="4"/>
  <c r="D41" i="4"/>
  <c r="A42" i="4"/>
  <c r="B42" i="4"/>
  <c r="C42" i="4"/>
  <c r="D42" i="4"/>
  <c r="A43" i="4"/>
  <c r="B43" i="4"/>
  <c r="C43" i="4"/>
  <c r="D43" i="4"/>
  <c r="A44" i="4"/>
  <c r="B44" i="4"/>
  <c r="C44" i="4"/>
  <c r="D44" i="4"/>
  <c r="A45" i="4"/>
  <c r="B45" i="4"/>
  <c r="C45" i="4"/>
  <c r="D45" i="4"/>
  <c r="A46" i="4"/>
  <c r="B46" i="4"/>
  <c r="C46" i="4"/>
  <c r="D46" i="4"/>
  <c r="A47" i="4"/>
  <c r="B47" i="4"/>
  <c r="C47" i="4"/>
  <c r="D47" i="4"/>
  <c r="A48" i="4"/>
  <c r="B48" i="4"/>
  <c r="C48" i="4"/>
  <c r="D48" i="4"/>
  <c r="A49" i="4"/>
  <c r="B49" i="4"/>
  <c r="C49" i="4"/>
  <c r="D49" i="4"/>
  <c r="A50" i="4"/>
  <c r="B50" i="4"/>
  <c r="C50" i="4"/>
  <c r="D50" i="4"/>
  <c r="A51" i="4"/>
  <c r="B51" i="4"/>
  <c r="C51" i="4"/>
  <c r="D51" i="4"/>
  <c r="A52" i="4"/>
  <c r="B52" i="4"/>
  <c r="C52" i="4"/>
  <c r="D52" i="4"/>
  <c r="A53" i="4"/>
  <c r="B53" i="4"/>
  <c r="C53" i="4"/>
  <c r="D53" i="4"/>
  <c r="A54" i="4"/>
  <c r="B54" i="4"/>
  <c r="C54" i="4"/>
  <c r="D54" i="4"/>
  <c r="A55" i="4"/>
  <c r="B55" i="4"/>
  <c r="C55" i="4"/>
  <c r="D55" i="4"/>
  <c r="A33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16" i="4"/>
  <c r="B17" i="4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C2" i="4"/>
  <c r="D2" i="4" s="1"/>
  <c r="C33" i="4" s="1"/>
  <c r="B3" i="4"/>
  <c r="C3" i="4" s="1"/>
  <c r="B4" i="4"/>
  <c r="B5" i="4"/>
  <c r="B6" i="4"/>
  <c r="B7" i="4"/>
  <c r="B8" i="4"/>
  <c r="B9" i="4"/>
  <c r="B10" i="4"/>
  <c r="B11" i="4"/>
  <c r="B12" i="4"/>
  <c r="B13" i="4"/>
  <c r="B14" i="4"/>
  <c r="B15" i="4"/>
  <c r="B2" i="4"/>
  <c r="A20" i="4" l="1"/>
  <c r="C19" i="4"/>
  <c r="D19" i="4" s="1"/>
  <c r="C4" i="4"/>
  <c r="D4" i="4" s="1"/>
  <c r="C18" i="4"/>
  <c r="C20" i="4"/>
  <c r="A21" i="4"/>
  <c r="D18" i="4"/>
  <c r="E18" i="4"/>
  <c r="C5" i="4"/>
  <c r="C16" i="4"/>
  <c r="D16" i="4" s="1"/>
  <c r="C17" i="4"/>
  <c r="E2" i="4"/>
  <c r="D33" i="4" s="1"/>
  <c r="C6" i="4"/>
  <c r="D5" i="4"/>
  <c r="E5" i="4"/>
  <c r="E4" i="4"/>
  <c r="C7" i="4"/>
  <c r="E3" i="4"/>
  <c r="D3" i="4"/>
  <c r="B33" i="4"/>
  <c r="J4" i="2"/>
  <c r="J3" i="2"/>
  <c r="J2" i="2"/>
  <c r="A2" i="2"/>
  <c r="C2" i="2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J9" i="1"/>
  <c r="E19" i="4" l="1"/>
  <c r="C21" i="4"/>
  <c r="A22" i="4"/>
  <c r="D20" i="4"/>
  <c r="E20" i="4"/>
  <c r="E16" i="4"/>
  <c r="D17" i="4"/>
  <c r="E17" i="4"/>
  <c r="D6" i="4"/>
  <c r="E6" i="4"/>
  <c r="D7" i="4"/>
  <c r="E7" i="4"/>
  <c r="C8" i="4"/>
  <c r="H2" i="2"/>
  <c r="B2" i="2"/>
  <c r="A3" i="2"/>
  <c r="B5" i="1"/>
  <c r="B22" i="1" s="1"/>
  <c r="B4" i="1"/>
  <c r="B21" i="1" s="1"/>
  <c r="B12" i="1"/>
  <c r="B29" i="1" s="1"/>
  <c r="B11" i="1"/>
  <c r="B28" i="1" s="1"/>
  <c r="B10" i="1"/>
  <c r="B27" i="1" s="1"/>
  <c r="B3" i="1"/>
  <c r="B20" i="1" s="1"/>
  <c r="B9" i="1"/>
  <c r="B26" i="1" s="1"/>
  <c r="B2" i="1"/>
  <c r="B19" i="1" s="1"/>
  <c r="B8" i="1"/>
  <c r="B25" i="1" s="1"/>
  <c r="B15" i="1"/>
  <c r="B32" i="1" s="1"/>
  <c r="B7" i="1"/>
  <c r="B24" i="1" s="1"/>
  <c r="B14" i="1"/>
  <c r="B31" i="1" s="1"/>
  <c r="B6" i="1"/>
  <c r="B23" i="1" s="1"/>
  <c r="B13" i="1"/>
  <c r="B30" i="1" s="1"/>
  <c r="A23" i="4" l="1"/>
  <c r="C22" i="4"/>
  <c r="D21" i="4"/>
  <c r="E21" i="4"/>
  <c r="C9" i="4"/>
  <c r="D8" i="4"/>
  <c r="E8" i="4"/>
  <c r="D2" i="2"/>
  <c r="G2" i="2" s="1"/>
  <c r="A4" i="2"/>
  <c r="B3" i="2"/>
  <c r="H3" i="2"/>
  <c r="C3" i="2"/>
  <c r="C2" i="1"/>
  <c r="C19" i="1" s="1"/>
  <c r="F2" i="1"/>
  <c r="F19" i="1" s="1"/>
  <c r="D2" i="1"/>
  <c r="D19" i="1" s="1"/>
  <c r="E2" i="1"/>
  <c r="C9" i="1"/>
  <c r="C26" i="1" s="1"/>
  <c r="E9" i="1"/>
  <c r="E26" i="1" s="1"/>
  <c r="F9" i="1"/>
  <c r="F26" i="1" s="1"/>
  <c r="D9" i="1"/>
  <c r="D26" i="1" s="1"/>
  <c r="C13" i="1"/>
  <c r="C30" i="1" s="1"/>
  <c r="D13" i="1"/>
  <c r="D30" i="1" s="1"/>
  <c r="E13" i="1"/>
  <c r="E30" i="1" s="1"/>
  <c r="F13" i="1"/>
  <c r="F30" i="1" s="1"/>
  <c r="C3" i="1"/>
  <c r="C20" i="1" s="1"/>
  <c r="E3" i="1"/>
  <c r="E20" i="1" s="1"/>
  <c r="F3" i="1"/>
  <c r="F20" i="1" s="1"/>
  <c r="D3" i="1"/>
  <c r="D20" i="1" s="1"/>
  <c r="C6" i="1"/>
  <c r="C23" i="1" s="1"/>
  <c r="D6" i="1"/>
  <c r="D23" i="1" s="1"/>
  <c r="E6" i="1"/>
  <c r="E23" i="1" s="1"/>
  <c r="F6" i="1"/>
  <c r="F23" i="1" s="1"/>
  <c r="C10" i="1"/>
  <c r="E10" i="1"/>
  <c r="E27" i="1" s="1"/>
  <c r="F10" i="1"/>
  <c r="F27" i="1" s="1"/>
  <c r="D10" i="1"/>
  <c r="D27" i="1" s="1"/>
  <c r="C14" i="1"/>
  <c r="C31" i="1" s="1"/>
  <c r="E14" i="1"/>
  <c r="F14" i="1"/>
  <c r="F31" i="1" s="1"/>
  <c r="D14" i="1"/>
  <c r="D31" i="1" s="1"/>
  <c r="C11" i="1"/>
  <c r="C28" i="1" s="1"/>
  <c r="E11" i="1"/>
  <c r="E28" i="1" s="1"/>
  <c r="F11" i="1"/>
  <c r="F28" i="1" s="1"/>
  <c r="D11" i="1"/>
  <c r="C7" i="1"/>
  <c r="C24" i="1" s="1"/>
  <c r="F7" i="1"/>
  <c r="F24" i="1" s="1"/>
  <c r="D7" i="1"/>
  <c r="D24" i="1" s="1"/>
  <c r="E7" i="1"/>
  <c r="E24" i="1" s="1"/>
  <c r="C12" i="1"/>
  <c r="C29" i="1" s="1"/>
  <c r="E12" i="1"/>
  <c r="E29" i="1" s="1"/>
  <c r="F12" i="1"/>
  <c r="F29" i="1" s="1"/>
  <c r="D12" i="1"/>
  <c r="D29" i="1" s="1"/>
  <c r="C15" i="1"/>
  <c r="C32" i="1" s="1"/>
  <c r="F15" i="1"/>
  <c r="F32" i="1" s="1"/>
  <c r="D15" i="1"/>
  <c r="D32" i="1" s="1"/>
  <c r="E15" i="1"/>
  <c r="E32" i="1" s="1"/>
  <c r="C4" i="1"/>
  <c r="E4" i="1"/>
  <c r="E21" i="1" s="1"/>
  <c r="D4" i="1"/>
  <c r="D21" i="1" s="1"/>
  <c r="F4" i="1"/>
  <c r="F21" i="1" s="1"/>
  <c r="C8" i="1"/>
  <c r="C25" i="1" s="1"/>
  <c r="F8" i="1"/>
  <c r="F25" i="1" s="1"/>
  <c r="D8" i="1"/>
  <c r="D25" i="1" s="1"/>
  <c r="E8" i="1"/>
  <c r="E25" i="1" s="1"/>
  <c r="C5" i="1"/>
  <c r="C22" i="1" s="1"/>
  <c r="D5" i="1"/>
  <c r="D22" i="1" s="1"/>
  <c r="E5" i="1"/>
  <c r="E22" i="1" s="1"/>
  <c r="F5" i="1"/>
  <c r="F22" i="1" s="1"/>
  <c r="G5" i="1"/>
  <c r="E22" i="4" l="1"/>
  <c r="D22" i="4"/>
  <c r="C23" i="4"/>
  <c r="A24" i="4"/>
  <c r="E9" i="4"/>
  <c r="D9" i="4"/>
  <c r="C10" i="4"/>
  <c r="G3" i="2"/>
  <c r="D3" i="2"/>
  <c r="F3" i="2"/>
  <c r="G3" i="1"/>
  <c r="H4" i="2"/>
  <c r="C4" i="2"/>
  <c r="B4" i="2"/>
  <c r="A5" i="2"/>
  <c r="F2" i="2"/>
  <c r="E2" i="2" s="1"/>
  <c r="G4" i="1"/>
  <c r="C21" i="1"/>
  <c r="G10" i="1"/>
  <c r="C27" i="1"/>
  <c r="G2" i="1"/>
  <c r="E19" i="1"/>
  <c r="G14" i="1"/>
  <c r="E31" i="1"/>
  <c r="G11" i="1"/>
  <c r="D28" i="1"/>
  <c r="G7" i="1"/>
  <c r="G15" i="1"/>
  <c r="G9" i="1"/>
  <c r="G8" i="1"/>
  <c r="G6" i="1"/>
  <c r="G13" i="1"/>
  <c r="G12" i="1"/>
  <c r="A25" i="4" l="1"/>
  <c r="C24" i="4"/>
  <c r="D23" i="4"/>
  <c r="E23" i="4"/>
  <c r="D10" i="4"/>
  <c r="E10" i="4"/>
  <c r="C11" i="4"/>
  <c r="E3" i="2"/>
  <c r="H5" i="2"/>
  <c r="C5" i="2"/>
  <c r="B5" i="2"/>
  <c r="A6" i="2"/>
  <c r="F4" i="2"/>
  <c r="E4" i="2" s="1"/>
  <c r="D4" i="2"/>
  <c r="G4" i="2"/>
  <c r="D24" i="4" l="1"/>
  <c r="E24" i="4"/>
  <c r="A26" i="4"/>
  <c r="C25" i="4"/>
  <c r="D11" i="4"/>
  <c r="E11" i="4"/>
  <c r="C12" i="4"/>
  <c r="D5" i="2"/>
  <c r="F5" i="2" s="1"/>
  <c r="E5" i="2" s="1"/>
  <c r="G5" i="2"/>
  <c r="H6" i="2"/>
  <c r="B6" i="2"/>
  <c r="A7" i="2"/>
  <c r="C6" i="2"/>
  <c r="D25" i="4" l="1"/>
  <c r="E25" i="4"/>
  <c r="A27" i="4"/>
  <c r="C26" i="4"/>
  <c r="D12" i="4"/>
  <c r="E12" i="4"/>
  <c r="C13" i="4"/>
  <c r="H7" i="2"/>
  <c r="C7" i="2"/>
  <c r="B7" i="2"/>
  <c r="A8" i="2"/>
  <c r="D6" i="2"/>
  <c r="G6" i="2" s="1"/>
  <c r="D26" i="4" l="1"/>
  <c r="E26" i="4"/>
  <c r="C27" i="4"/>
  <c r="A28" i="4"/>
  <c r="D13" i="4"/>
  <c r="E13" i="4"/>
  <c r="C15" i="4"/>
  <c r="C14" i="4"/>
  <c r="H8" i="2"/>
  <c r="C8" i="2"/>
  <c r="B8" i="2"/>
  <c r="A9" i="2"/>
  <c r="F6" i="2"/>
  <c r="E6" i="2" s="1"/>
  <c r="D7" i="2"/>
  <c r="F7" i="2" s="1"/>
  <c r="E7" i="2" s="1"/>
  <c r="G7" i="2"/>
  <c r="C28" i="4" l="1"/>
  <c r="A29" i="4"/>
  <c r="D27" i="4"/>
  <c r="E27" i="4"/>
  <c r="D14" i="4"/>
  <c r="E14" i="4"/>
  <c r="D15" i="4"/>
  <c r="E15" i="4"/>
  <c r="H9" i="2"/>
  <c r="B9" i="2"/>
  <c r="A10" i="2"/>
  <c r="C9" i="2"/>
  <c r="D8" i="2"/>
  <c r="G8" i="2" s="1"/>
  <c r="C29" i="4" l="1"/>
  <c r="A30" i="4"/>
  <c r="E28" i="4"/>
  <c r="D28" i="4"/>
  <c r="F8" i="2"/>
  <c r="E8" i="2" s="1"/>
  <c r="G9" i="2"/>
  <c r="H10" i="2"/>
  <c r="B10" i="2"/>
  <c r="A11" i="2"/>
  <c r="C10" i="2"/>
  <c r="D9" i="2"/>
  <c r="F9" i="2" s="1"/>
  <c r="E9" i="2" s="1"/>
  <c r="C30" i="4" l="1"/>
  <c r="D29" i="4"/>
  <c r="E29" i="4"/>
  <c r="H11" i="2"/>
  <c r="B11" i="2"/>
  <c r="C11" i="2"/>
  <c r="D10" i="2"/>
  <c r="G10" i="2" s="1"/>
  <c r="E30" i="4" l="1"/>
  <c r="D30" i="4"/>
  <c r="F10" i="2"/>
  <c r="E10" i="2" s="1"/>
  <c r="D11" i="2"/>
  <c r="G11" i="2" s="1"/>
  <c r="F11" i="2" l="1"/>
  <c r="E11" i="2" s="1"/>
</calcChain>
</file>

<file path=xl/sharedStrings.xml><?xml version="1.0" encoding="utf-8"?>
<sst xmlns="http://schemas.openxmlformats.org/spreadsheetml/2006/main" count="58" uniqueCount="52">
  <si>
    <t>pH</t>
  </si>
  <si>
    <t>Fe3+</t>
  </si>
  <si>
    <t>Fe(OH)2+</t>
  </si>
  <si>
    <t>Fe(OH)3aq</t>
  </si>
  <si>
    <t>log *K1</t>
  </si>
  <si>
    <t>log *b2</t>
  </si>
  <si>
    <t>log *b3</t>
  </si>
  <si>
    <t xml:space="preserve">log *b43 </t>
  </si>
  <si>
    <t>log *Kso</t>
  </si>
  <si>
    <t>log *b4</t>
  </si>
  <si>
    <t>log *b22</t>
  </si>
  <si>
    <t>FeT</t>
  </si>
  <si>
    <t>FeOH2+</t>
  </si>
  <si>
    <t>Fe(OH)4-</t>
  </si>
  <si>
    <t>Check sum</t>
  </si>
  <si>
    <t>Input parameters</t>
  </si>
  <si>
    <t>Fraction Fe3+</t>
  </si>
  <si>
    <t>Fraction FeOH2+</t>
  </si>
  <si>
    <t>Fraction Fe(OH)2+</t>
  </si>
  <si>
    <t>Fraction Fe(OH)3aq</t>
  </si>
  <si>
    <t>Fraction Fe(OH)4-</t>
  </si>
  <si>
    <t>log K1</t>
  </si>
  <si>
    <t>b2</t>
  </si>
  <si>
    <t>log b2</t>
  </si>
  <si>
    <t>[L]</t>
  </si>
  <si>
    <t>[L]K1</t>
  </si>
  <si>
    <t>[L]2 b2</t>
  </si>
  <si>
    <t>1 + sum ([L]i bi)</t>
  </si>
  <si>
    <t>K1</t>
  </si>
  <si>
    <t>K2</t>
  </si>
  <si>
    <t>[M]/[M]t</t>
  </si>
  <si>
    <t>[ML]/[M]t</t>
  </si>
  <si>
    <t>[ML2]/[M]t</t>
  </si>
  <si>
    <t>log[L]</t>
  </si>
  <si>
    <t>Cu tot</t>
  </si>
  <si>
    <t>Cu2+</t>
  </si>
  <si>
    <t>CuOH+</t>
  </si>
  <si>
    <t>Cu(OH)2</t>
  </si>
  <si>
    <t>Fraction Cu2+</t>
  </si>
  <si>
    <t>Fraction CuOH+</t>
  </si>
  <si>
    <t>Fraction Cu(OH)2</t>
  </si>
  <si>
    <t>Al3+</t>
  </si>
  <si>
    <t>Al(OH)3</t>
  </si>
  <si>
    <t>Al(OH)4-</t>
  </si>
  <si>
    <t>Al(OH)+2</t>
  </si>
  <si>
    <t>Al(OH)2+</t>
  </si>
  <si>
    <t>log Kso</t>
  </si>
  <si>
    <t>log K2</t>
  </si>
  <si>
    <t>log K3</t>
  </si>
  <si>
    <t>log K4</t>
  </si>
  <si>
    <t>log Kw</t>
  </si>
  <si>
    <t>Altot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</si>
</sst>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Hydrolysis of Cu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Cu2+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 3 Cu hydrolysis'!$A$2:$A$30</c:f>
              <c:numCache>
                <c:formatCode>General</c:formatCode>
                <c:ptCount val="29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</c:numCache>
            </c:numRef>
          </c:xVal>
          <c:yVal>
            <c:numRef>
              <c:f>'Ex 3 Cu hydrolysis'!$C$2:$C$30</c:f>
              <c:numCache>
                <c:formatCode>General</c:formatCode>
                <c:ptCount val="29"/>
                <c:pt idx="0">
                  <c:v>9.999999800473616E-6</c:v>
                </c:pt>
                <c:pt idx="1">
                  <c:v>9.9999993690411113E-6</c:v>
                </c:pt>
                <c:pt idx="2">
                  <c:v>9.9999980047222344E-6</c:v>
                </c:pt>
                <c:pt idx="3">
                  <c:v>9.9999936902720498E-6</c:v>
                </c:pt>
                <c:pt idx="4">
                  <c:v>9.9999800458317765E-6</c:v>
                </c:pt>
                <c:pt idx="5">
                  <c:v>9.9999368888149267E-6</c:v>
                </c:pt>
                <c:pt idx="6">
                  <c:v>9.9998003192665032E-6</c:v>
                </c:pt>
                <c:pt idx="7">
                  <c:v>9.9993674977707658E-6</c:v>
                </c:pt>
                <c:pt idx="8">
                  <c:v>9.9979892931286277E-6</c:v>
                </c:pt>
                <c:pt idx="9">
                  <c:v>9.9935361181153244E-6</c:v>
                </c:pt>
                <c:pt idx="10">
                  <c:v>9.9785087704286627E-6</c:v>
                </c:pt>
                <c:pt idx="11">
                  <c:v>9.9216736781619398E-6</c:v>
                </c:pt>
                <c:pt idx="12">
                  <c:v>9.6543589368165054E-6</c:v>
                </c:pt>
                <c:pt idx="13">
                  <c:v>8.1860857496246649E-6</c:v>
                </c:pt>
                <c:pt idx="14">
                  <c:v>3.5914129581042789E-6</c:v>
                </c:pt>
                <c:pt idx="15">
                  <c:v>5.7208600386745294E-7</c:v>
                </c:pt>
                <c:pt idx="16">
                  <c:v>6.1925416676499321E-8</c:v>
                </c:pt>
                <c:pt idx="17">
                  <c:v>6.2806071023939804E-9</c:v>
                </c:pt>
                <c:pt idx="18">
                  <c:v>6.3012430682181571E-10</c:v>
                </c:pt>
                <c:pt idx="19">
                  <c:v>6.3070227791852714E-11</c:v>
                </c:pt>
                <c:pt idx="20">
                  <c:v>6.3087752364876317E-12</c:v>
                </c:pt>
                <c:pt idx="21">
                  <c:v>6.3093218680829543E-13</c:v>
                </c:pt>
                <c:pt idx="22">
                  <c:v>6.3094939731687536E-14</c:v>
                </c:pt>
                <c:pt idx="23">
                  <c:v>6.3095483220565987E-15</c:v>
                </c:pt>
                <c:pt idx="24">
                  <c:v>6.309565501131501E-16</c:v>
                </c:pt>
                <c:pt idx="25">
                  <c:v>6.3095709328767119E-17</c:v>
                </c:pt>
                <c:pt idx="26">
                  <c:v>6.3095726504698369E-18</c:v>
                </c:pt>
                <c:pt idx="27">
                  <c:v>6.3095731936129221E-19</c:v>
                </c:pt>
                <c:pt idx="28">
                  <c:v>6.3095733653690907E-20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52-2748-AF4D-1D79A8C62799}"/>
            </c:ext>
          </c:extLst>
        </c:ser>
        <c:ser>
          <c:idx val="1"/>
          <c:order val="1"/>
          <c:tx>
            <c:v>CuOH+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'Ex 3 Cu hydrolysis'!$A$2:$A$30</c:f>
              <c:numCache>
                <c:formatCode>General</c:formatCode>
                <c:ptCount val="29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</c:numCache>
            </c:numRef>
          </c:xVal>
          <c:yVal>
            <c:numRef>
              <c:f>'Ex 3 Cu hydrolysis'!$D$2:$D$30</c:f>
              <c:numCache>
                <c:formatCode>General</c:formatCode>
                <c:ptCount val="29"/>
                <c:pt idx="0">
                  <c:v>1.9952622751581299E-13</c:v>
                </c:pt>
                <c:pt idx="1">
                  <c:v>6.3095730466937804E-13</c:v>
                </c:pt>
                <c:pt idx="2">
                  <c:v>1.9952619168586239E-12</c:v>
                </c:pt>
                <c:pt idx="3">
                  <c:v>6.3095694636327352E-12</c:v>
                </c:pt>
                <c:pt idx="4">
                  <c:v>1.995258333588889E-11</c:v>
                </c:pt>
                <c:pt idx="5">
                  <c:v>6.3095336243361903E-11</c:v>
                </c:pt>
                <c:pt idx="6">
                  <c:v>1.9952224734246201E-10</c:v>
                </c:pt>
                <c:pt idx="7">
                  <c:v>6.3091743628749916E-10</c:v>
                </c:pt>
                <c:pt idx="8">
                  <c:v>1.9948611262041874E-9</c:v>
                </c:pt>
                <c:pt idx="9">
                  <c:v>6.305495011052946E-9</c:v>
                </c:pt>
                <c:pt idx="10">
                  <c:v>1.9909742509222736E-8</c:v>
                </c:pt>
                <c:pt idx="11">
                  <c:v>6.2601528767720874E-8</c:v>
                </c:pt>
                <c:pt idx="12">
                  <c:v>1.9262978561812969E-7</c:v>
                </c:pt>
                <c:pt idx="13">
                  <c:v>5.1650709262703345E-7</c:v>
                </c:pt>
                <c:pt idx="14">
                  <c:v>7.1658109327963678E-7</c:v>
                </c:pt>
                <c:pt idx="15">
                  <c:v>3.609618658144943E-7</c:v>
                </c:pt>
                <c:pt idx="16">
                  <c:v>1.2355745023336434E-7</c:v>
                </c:pt>
                <c:pt idx="17">
                  <c:v>3.9627951790499444E-8</c:v>
                </c:pt>
                <c:pt idx="18">
                  <c:v>1.2572632831474551E-8</c:v>
                </c:pt>
                <c:pt idx="19">
                  <c:v>3.9794623443308289E-9</c:v>
                </c:pt>
                <c:pt idx="20">
                  <c:v>1.2587661482972636E-9</c:v>
                </c:pt>
                <c:pt idx="21">
                  <c:v>3.9809129713564391E-10</c:v>
                </c:pt>
                <c:pt idx="22">
                  <c:v>1.2589095551186868E-10</c:v>
                </c:pt>
                <c:pt idx="23">
                  <c:v>3.9810558541543019E-11</c:v>
                </c:pt>
                <c:pt idx="24">
                  <c:v>1.2589238268235403E-11</c:v>
                </c:pt>
                <c:pt idx="25">
                  <c:v>3.9810701206173073E-12</c:v>
                </c:pt>
                <c:pt idx="26">
                  <c:v>1.2589252533040761E-12</c:v>
                </c:pt>
                <c:pt idx="27">
                  <c:v>3.9810715470454271E-13</c:v>
                </c:pt>
                <c:pt idx="28">
                  <c:v>1.2589253959452302E-13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52-2748-AF4D-1D79A8C62799}"/>
            </c:ext>
          </c:extLst>
        </c:ser>
        <c:ser>
          <c:idx val="2"/>
          <c:order val="2"/>
          <c:tx>
            <c:v>Cu(OH)2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'Ex 3 Cu hydrolysis'!$A$2:$A$30</c:f>
              <c:numCache>
                <c:formatCode>General</c:formatCode>
                <c:ptCount val="29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</c:numCache>
            </c:numRef>
          </c:xVal>
          <c:yVal>
            <c:numRef>
              <c:f>'Ex 3 Cu hydrolysis'!$E$2:$E$30</c:f>
              <c:numCache>
                <c:formatCode>General</c:formatCode>
                <c:ptCount val="29"/>
                <c:pt idx="0">
                  <c:v>1.5848931608383078E-19</c:v>
                </c:pt>
                <c:pt idx="1">
                  <c:v>1.5848930924608636E-18</c:v>
                </c:pt>
                <c:pt idx="2">
                  <c:v>1.5848928762308936E-17</c:v>
                </c:pt>
                <c:pt idx="3">
                  <c:v>1.5848921924366208E-16</c:v>
                </c:pt>
                <c:pt idx="4">
                  <c:v>1.5848900299385704E-15</c:v>
                </c:pt>
                <c:pt idx="5">
                  <c:v>1.584883190012349E-14</c:v>
                </c:pt>
                <c:pt idx="6">
                  <c:v>1.5848615451975901E-13</c:v>
                </c:pt>
                <c:pt idx="7">
                  <c:v>1.5847929476133756E-12</c:v>
                </c:pt>
                <c:pt idx="8">
                  <c:v>1.5845745168978609E-11</c:v>
                </c:pt>
                <c:pt idx="9">
                  <c:v>1.5838687362215188E-10</c:v>
                </c:pt>
                <c:pt idx="10">
                  <c:v>1.5814870621165852E-9</c:v>
                </c:pt>
                <c:pt idx="11">
                  <c:v>1.5724793070339426E-8</c:v>
                </c:pt>
                <c:pt idx="12">
                  <c:v>1.5301127756536545E-7</c:v>
                </c:pt>
                <c:pt idx="13">
                  <c:v>1.297407157748302E-6</c:v>
                </c:pt>
                <c:pt idx="14">
                  <c:v>5.6920059486160842E-6</c:v>
                </c:pt>
                <c:pt idx="15">
                  <c:v>9.0669521303180553E-6</c:v>
                </c:pt>
                <c:pt idx="16">
                  <c:v>9.8145171330901387E-6</c:v>
                </c:pt>
                <c:pt idx="17">
                  <c:v>9.9540914411071072E-6</c:v>
                </c:pt>
                <c:pt idx="18">
                  <c:v>9.9867972428617042E-6</c:v>
                </c:pt>
                <c:pt idx="19">
                  <c:v>9.9959574674278775E-6</c:v>
                </c:pt>
                <c:pt idx="20">
                  <c:v>9.9987349250764668E-6</c:v>
                </c:pt>
                <c:pt idx="21">
                  <c:v>9.9996012777706782E-6</c:v>
                </c:pt>
                <c:pt idx="22">
                  <c:v>9.999874045949548E-6</c:v>
                </c:pt>
                <c:pt idx="23">
                  <c:v>9.999960183131911E-6</c:v>
                </c:pt>
                <c:pt idx="24">
                  <c:v>9.9999874101307766E-6</c:v>
                </c:pt>
                <c:pt idx="25">
                  <c:v>9.9999960188667863E-6</c:v>
                </c:pt>
                <c:pt idx="26">
                  <c:v>9.9999987410684381E-6</c:v>
                </c:pt>
                <c:pt idx="27">
                  <c:v>9.9999996018922151E-6</c:v>
                </c:pt>
                <c:pt idx="28">
                  <c:v>9.9999998741073963E-6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52-2748-AF4D-1D79A8C6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056559"/>
        <c:axId val="1264189487"/>
      </c:scatterChart>
      <c:valAx>
        <c:axId val="1248056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4189487"/>
        <c:crossesAt val="9.9999999999999998E-17"/>
        <c:crossBetween val="midCat"/>
      </c:valAx>
      <c:valAx>
        <c:axId val="1264189487"/>
        <c:scaling>
          <c:logBase val="10"/>
          <c:orientation val="minMax"/>
          <c:max val="1.0000000000000001E-5"/>
          <c:min val="9.9999999999999998E-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48056559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Hydrolysis of Cu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Cu2+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 3 Cu hydrolysis'!$A$33:$A$61</c:f>
              <c:numCache>
                <c:formatCode>General</c:formatCode>
                <c:ptCount val="29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</c:numCache>
            </c:numRef>
          </c:xVal>
          <c:yVal>
            <c:numRef>
              <c:f>'Ex 3 Cu hydrolysis'!$B$33:$B$61</c:f>
              <c:numCache>
                <c:formatCode>0.00</c:formatCode>
                <c:ptCount val="29"/>
                <c:pt idx="0">
                  <c:v>0.99999998004736157</c:v>
                </c:pt>
                <c:pt idx="1">
                  <c:v>0.99999993690411104</c:v>
                </c:pt>
                <c:pt idx="2">
                  <c:v>0.99999980047222337</c:v>
                </c:pt>
                <c:pt idx="3">
                  <c:v>0.99999936902720488</c:v>
                </c:pt>
                <c:pt idx="4">
                  <c:v>0.99999800458317756</c:v>
                </c:pt>
                <c:pt idx="5">
                  <c:v>0.99999368888149254</c:v>
                </c:pt>
                <c:pt idx="6">
                  <c:v>0.99998003192665019</c:v>
                </c:pt>
                <c:pt idx="7">
                  <c:v>0.99993674977707647</c:v>
                </c:pt>
                <c:pt idx="8">
                  <c:v>0.99979892931286274</c:v>
                </c:pt>
                <c:pt idx="9">
                  <c:v>0.99935361181153237</c:v>
                </c:pt>
                <c:pt idx="10">
                  <c:v>0.99785087704286624</c:v>
                </c:pt>
                <c:pt idx="11">
                  <c:v>0.99216736781619386</c:v>
                </c:pt>
                <c:pt idx="12">
                  <c:v>0.9654358936816505</c:v>
                </c:pt>
                <c:pt idx="13">
                  <c:v>0.81860857496246642</c:v>
                </c:pt>
                <c:pt idx="14">
                  <c:v>0.35914129581042786</c:v>
                </c:pt>
                <c:pt idx="15">
                  <c:v>5.7208600386745287E-2</c:v>
                </c:pt>
                <c:pt idx="16">
                  <c:v>6.1925416676499321E-3</c:v>
                </c:pt>
                <c:pt idx="17">
                  <c:v>6.2806071023939795E-4</c:v>
                </c:pt>
                <c:pt idx="18">
                  <c:v>6.3012430682181568E-5</c:v>
                </c:pt>
                <c:pt idx="19">
                  <c:v>6.3070227791852712E-6</c:v>
                </c:pt>
                <c:pt idx="20">
                  <c:v>6.3087752364876314E-7</c:v>
                </c:pt>
                <c:pt idx="21">
                  <c:v>6.3093218680829537E-8</c:v>
                </c:pt>
                <c:pt idx="22">
                  <c:v>6.3094939731687531E-9</c:v>
                </c:pt>
                <c:pt idx="23">
                  <c:v>6.3095483220565982E-10</c:v>
                </c:pt>
                <c:pt idx="24">
                  <c:v>6.3095655011315003E-11</c:v>
                </c:pt>
                <c:pt idx="25">
                  <c:v>6.3095709328767117E-12</c:v>
                </c:pt>
                <c:pt idx="26">
                  <c:v>6.3095726504698362E-13</c:v>
                </c:pt>
                <c:pt idx="27">
                  <c:v>6.3095731936129216E-14</c:v>
                </c:pt>
                <c:pt idx="28">
                  <c:v>6.3095733653690905E-15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32-1944-9CDF-94753317ECDB}"/>
            </c:ext>
          </c:extLst>
        </c:ser>
        <c:ser>
          <c:idx val="1"/>
          <c:order val="1"/>
          <c:tx>
            <c:v>CuOH+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'Ex 3 Cu hydrolysis'!$A$33:$A$61</c:f>
              <c:numCache>
                <c:formatCode>General</c:formatCode>
                <c:ptCount val="29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</c:numCache>
            </c:numRef>
          </c:xVal>
          <c:yVal>
            <c:numRef>
              <c:f>'Ex 3 Cu hydrolysis'!$C$33:$C$61</c:f>
              <c:numCache>
                <c:formatCode>0.00</c:formatCode>
                <c:ptCount val="29"/>
                <c:pt idx="0">
                  <c:v>1.9952622751581296E-8</c:v>
                </c:pt>
                <c:pt idx="1">
                  <c:v>6.3095730466937802E-8</c:v>
                </c:pt>
                <c:pt idx="2">
                  <c:v>1.9952619168586236E-7</c:v>
                </c:pt>
                <c:pt idx="3">
                  <c:v>6.3095694636327344E-7</c:v>
                </c:pt>
                <c:pt idx="4">
                  <c:v>1.9952583335888888E-6</c:v>
                </c:pt>
                <c:pt idx="5">
                  <c:v>6.3095336243361894E-6</c:v>
                </c:pt>
                <c:pt idx="6">
                  <c:v>1.9952224734246198E-5</c:v>
                </c:pt>
                <c:pt idx="7">
                  <c:v>6.3091743628749909E-5</c:v>
                </c:pt>
                <c:pt idx="8">
                  <c:v>1.9948611262041874E-4</c:v>
                </c:pt>
                <c:pt idx="9">
                  <c:v>6.3054950110529452E-4</c:v>
                </c:pt>
                <c:pt idx="10">
                  <c:v>1.9909742509222734E-3</c:v>
                </c:pt>
                <c:pt idx="11">
                  <c:v>6.260152876772087E-3</c:v>
                </c:pt>
                <c:pt idx="12">
                  <c:v>1.9262978561812968E-2</c:v>
                </c:pt>
                <c:pt idx="13">
                  <c:v>5.1650709262703341E-2</c:v>
                </c:pt>
                <c:pt idx="14">
                  <c:v>7.1658109327963668E-2</c:v>
                </c:pt>
                <c:pt idx="15">
                  <c:v>3.6096186581449426E-2</c:v>
                </c:pt>
                <c:pt idx="16">
                  <c:v>1.2355745023336433E-2</c:v>
                </c:pt>
                <c:pt idx="17">
                  <c:v>3.962795179049944E-3</c:v>
                </c:pt>
                <c:pt idx="18">
                  <c:v>1.2572632831474551E-3</c:v>
                </c:pt>
                <c:pt idx="19">
                  <c:v>3.9794623443308285E-4</c:v>
                </c:pt>
                <c:pt idx="20">
                  <c:v>1.2587661482972636E-4</c:v>
                </c:pt>
                <c:pt idx="21">
                  <c:v>3.9809129713564384E-5</c:v>
                </c:pt>
                <c:pt idx="22">
                  <c:v>1.2589095551186867E-5</c:v>
                </c:pt>
                <c:pt idx="23">
                  <c:v>3.9810558541543015E-6</c:v>
                </c:pt>
                <c:pt idx="24">
                  <c:v>1.2589238268235402E-6</c:v>
                </c:pt>
                <c:pt idx="25">
                  <c:v>3.9810701206173067E-7</c:v>
                </c:pt>
                <c:pt idx="26">
                  <c:v>1.2589252533040759E-7</c:v>
                </c:pt>
                <c:pt idx="27">
                  <c:v>3.9810715470454265E-8</c:v>
                </c:pt>
                <c:pt idx="28">
                  <c:v>1.2589253959452302E-8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B32-1944-9CDF-94753317ECDB}"/>
            </c:ext>
          </c:extLst>
        </c:ser>
        <c:ser>
          <c:idx val="2"/>
          <c:order val="2"/>
          <c:tx>
            <c:v>Cu(OH)2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'Ex 3 Cu hydrolysis'!$A$33:$A$61</c:f>
              <c:numCache>
                <c:formatCode>General</c:formatCode>
                <c:ptCount val="29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</c:numCache>
            </c:numRef>
          </c:xVal>
          <c:yVal>
            <c:numRef>
              <c:f>'Ex 3 Cu hydrolysis'!$D$33:$D$61</c:f>
              <c:numCache>
                <c:formatCode>0.00</c:formatCode>
                <c:ptCount val="29"/>
                <c:pt idx="0">
                  <c:v>1.5848931608383076E-14</c:v>
                </c:pt>
                <c:pt idx="1">
                  <c:v>1.5848930924608634E-13</c:v>
                </c:pt>
                <c:pt idx="2">
                  <c:v>1.5848928762308934E-12</c:v>
                </c:pt>
                <c:pt idx="3">
                  <c:v>1.5848921924366208E-11</c:v>
                </c:pt>
                <c:pt idx="4">
                  <c:v>1.5848900299385703E-10</c:v>
                </c:pt>
                <c:pt idx="5">
                  <c:v>1.5848831900123489E-9</c:v>
                </c:pt>
                <c:pt idx="6">
                  <c:v>1.5848615451975899E-8</c:v>
                </c:pt>
                <c:pt idx="7">
                  <c:v>1.5847929476133755E-7</c:v>
                </c:pt>
                <c:pt idx="8">
                  <c:v>1.5845745168978608E-6</c:v>
                </c:pt>
                <c:pt idx="9">
                  <c:v>1.5838687362215187E-5</c:v>
                </c:pt>
                <c:pt idx="10">
                  <c:v>1.5814870621165851E-4</c:v>
                </c:pt>
                <c:pt idx="11">
                  <c:v>1.5724793070339424E-3</c:v>
                </c:pt>
                <c:pt idx="12">
                  <c:v>1.5301127756536543E-2</c:v>
                </c:pt>
                <c:pt idx="13">
                  <c:v>0.12974071577483018</c:v>
                </c:pt>
                <c:pt idx="14">
                  <c:v>0.56920059486160834</c:v>
                </c:pt>
                <c:pt idx="15">
                  <c:v>0.90669521303180545</c:v>
                </c:pt>
                <c:pt idx="16">
                  <c:v>0.98145171330901382</c:v>
                </c:pt>
                <c:pt idx="17">
                  <c:v>0.99540914411071069</c:v>
                </c:pt>
                <c:pt idx="18">
                  <c:v>0.99867972428617036</c:v>
                </c:pt>
                <c:pt idx="19">
                  <c:v>0.99959574674278762</c:v>
                </c:pt>
                <c:pt idx="20">
                  <c:v>0.99987349250764657</c:v>
                </c:pt>
                <c:pt idx="21">
                  <c:v>0.99996012777706778</c:v>
                </c:pt>
                <c:pt idx="22">
                  <c:v>0.99998740459495472</c:v>
                </c:pt>
                <c:pt idx="23">
                  <c:v>0.99999601831319107</c:v>
                </c:pt>
                <c:pt idx="24">
                  <c:v>0.99999874101307762</c:v>
                </c:pt>
                <c:pt idx="25">
                  <c:v>0.99999960188667858</c:v>
                </c:pt>
                <c:pt idx="26">
                  <c:v>0.99999987410684377</c:v>
                </c:pt>
                <c:pt idx="27">
                  <c:v>0.99999996018922144</c:v>
                </c:pt>
                <c:pt idx="28">
                  <c:v>0.99999998741073959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32-1944-9CDF-94753317E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056559"/>
        <c:axId val="1264189487"/>
      </c:scatterChart>
      <c:valAx>
        <c:axId val="1248056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4189487"/>
        <c:crossesAt val="9.9999999999999998E-17"/>
        <c:crossBetween val="midCat"/>
      </c:valAx>
      <c:valAx>
        <c:axId val="1264189487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48056559"/>
        <c:crossesAt val="0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Hydrolysis of Fe(III)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Fe3+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 4 Hydrolysis of iron'!$A$2:$A$15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'Ex 4 Hydrolysis of iron'!$B$2:$B$15</c:f>
              <c:numCache>
                <c:formatCode>0.00E+00</c:formatCode>
                <c:ptCount val="14"/>
                <c:pt idx="0">
                  <c:v>9.991090537760557E-10</c:v>
                </c:pt>
                <c:pt idx="1">
                  <c:v>9.9111810768586467E-10</c:v>
                </c:pt>
                <c:pt idx="2">
                  <c:v>9.1405765085881305E-10</c:v>
                </c:pt>
                <c:pt idx="3">
                  <c:v>4.199835556653755E-10</c:v>
                </c:pt>
                <c:pt idx="4">
                  <c:v>1.697613007326513E-11</c:v>
                </c:pt>
                <c:pt idx="5">
                  <c:v>1.9984954468183314E-13</c:v>
                </c:pt>
                <c:pt idx="6">
                  <c:v>1.9741779309147635E-15</c:v>
                </c:pt>
                <c:pt idx="7">
                  <c:v>1.537627585977635E-17</c:v>
                </c:pt>
                <c:pt idx="8">
                  <c:v>4.3971368104701345E-20</c:v>
                </c:pt>
                <c:pt idx="9">
                  <c:v>2.7554787001538472E-23</c:v>
                </c:pt>
                <c:pt idx="10">
                  <c:v>4.6420052734483477E-27</c:v>
                </c:pt>
                <c:pt idx="11">
                  <c:v>4.9723632453770451E-31</c:v>
                </c:pt>
                <c:pt idx="12">
                  <c:v>5.0078943015033132E-35</c:v>
                </c:pt>
                <c:pt idx="13">
                  <c:v>5.0114742594923782E-39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A7-0E46-8FFE-B7295264E421}"/>
            </c:ext>
          </c:extLst>
        </c:ser>
        <c:ser>
          <c:idx val="1"/>
          <c:order val="1"/>
          <c:tx>
            <c:v>FeOH2+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'Ex 4 Hydrolysis of iron'!$A$2:$A$15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'Ex 4 Hydrolysis of iron'!$C$2:$C$15</c:f>
              <c:numCache>
                <c:formatCode>General</c:formatCode>
                <c:ptCount val="14"/>
                <c:pt idx="0">
                  <c:v>8.9045688147582833E-13</c:v>
                </c:pt>
                <c:pt idx="1">
                  <c:v>8.8333494327636933E-12</c:v>
                </c:pt>
                <c:pt idx="2">
                  <c:v>8.1465473883624466E-11</c:v>
                </c:pt>
                <c:pt idx="3">
                  <c:v>3.7431073798751197E-10</c:v>
                </c:pt>
                <c:pt idx="4">
                  <c:v>1.5129991853678033E-10</c:v>
                </c:pt>
                <c:pt idx="5">
                  <c:v>1.7811609418328564E-11</c:v>
                </c:pt>
                <c:pt idx="6">
                  <c:v>1.7594879329707195E-12</c:v>
                </c:pt>
                <c:pt idx="7">
                  <c:v>1.3704120285028935E-13</c:v>
                </c:pt>
                <c:pt idx="8">
                  <c:v>3.9189523074339324E-15</c:v>
                </c:pt>
                <c:pt idx="9">
                  <c:v>2.4558229765196695E-17</c:v>
                </c:pt>
                <c:pt idx="10">
                  <c:v>4.137191554782633E-20</c:v>
                </c:pt>
                <c:pt idx="11">
                  <c:v>4.4316234071840471E-23</c:v>
                </c:pt>
                <c:pt idx="12">
                  <c:v>4.4632904942894656E-26</c:v>
                </c:pt>
                <c:pt idx="13">
                  <c:v>4.4664811352056985E-29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A7-0E46-8FFE-B7295264E421}"/>
            </c:ext>
          </c:extLst>
        </c:ser>
        <c:ser>
          <c:idx val="2"/>
          <c:order val="2"/>
          <c:tx>
            <c:v>Fe(OH)2+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'Ex 4 Hydrolysis of iron'!$A$2:$A$15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'Ex 4 Hydrolysis of iron'!$D$2:$D$15</c:f>
              <c:numCache>
                <c:formatCode>General</c:formatCode>
                <c:ptCount val="14"/>
                <c:pt idx="0">
                  <c:v>4.8934245277876198E-16</c:v>
                </c:pt>
                <c:pt idx="1">
                  <c:v>4.8542865663707128E-14</c:v>
                </c:pt>
                <c:pt idx="2">
                  <c:v>4.4768607707232484E-12</c:v>
                </c:pt>
                <c:pt idx="3">
                  <c:v>2.0569905004794973E-10</c:v>
                </c:pt>
                <c:pt idx="4">
                  <c:v>8.3145489447289699E-10</c:v>
                </c:pt>
                <c:pt idx="5">
                  <c:v>9.7882074045589762E-10</c:v>
                </c:pt>
                <c:pt idx="6">
                  <c:v>9.6691053622667486E-10</c:v>
                </c:pt>
                <c:pt idx="7">
                  <c:v>7.5309742368848014E-10</c:v>
                </c:pt>
                <c:pt idx="8">
                  <c:v>2.1536244756335975E-10</c:v>
                </c:pt>
                <c:pt idx="9">
                  <c:v>1.3495751045562518E-11</c:v>
                </c:pt>
                <c:pt idx="10">
                  <c:v>2.273555862331633E-13</c:v>
                </c:pt>
                <c:pt idx="11">
                  <c:v>2.4353581997918245E-15</c:v>
                </c:pt>
                <c:pt idx="12">
                  <c:v>2.452760558512262E-17</c:v>
                </c:pt>
                <c:pt idx="13">
                  <c:v>2.4545139461095351E-19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A7-0E46-8FFE-B7295264E421}"/>
            </c:ext>
          </c:extLst>
        </c:ser>
        <c:ser>
          <c:idx val="3"/>
          <c:order val="3"/>
          <c:tx>
            <c:v>Fe(OH)3aq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'Ex 4 Hydrolysis of iron'!$A$2:$A$15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'Ex 4 Hydrolysis of iron'!$E$2:$E$15</c:f>
              <c:numCache>
                <c:formatCode>General</c:formatCode>
                <c:ptCount val="14"/>
                <c:pt idx="0">
                  <c:v>1.5834811378559303E-23</c:v>
                </c:pt>
                <c:pt idx="1">
                  <c:v>1.570816341796263E-20</c:v>
                </c:pt>
                <c:pt idx="2">
                  <c:v>1.4486837483631255E-17</c:v>
                </c:pt>
                <c:pt idx="3">
                  <c:v>6.6562907831966456E-15</c:v>
                </c:pt>
                <c:pt idx="4">
                  <c:v>2.6905352987452205E-13</c:v>
                </c:pt>
                <c:pt idx="5">
                  <c:v>3.167401828826894E-12</c:v>
                </c:pt>
                <c:pt idx="6">
                  <c:v>3.1288611634137649E-11</c:v>
                </c:pt>
                <c:pt idx="7">
                  <c:v>2.4369754935563617E-10</c:v>
                </c:pt>
                <c:pt idx="8">
                  <c:v>6.9689921972342666E-10</c:v>
                </c:pt>
                <c:pt idx="9">
                  <c:v>4.3671394338454158E-10</c:v>
                </c:pt>
                <c:pt idx="10">
                  <c:v>7.3570825572568529E-11</c:v>
                </c:pt>
                <c:pt idx="11">
                  <c:v>7.8806646580419019E-12</c:v>
                </c:pt>
                <c:pt idx="12">
                  <c:v>7.9369775870173785E-13</c:v>
                </c:pt>
                <c:pt idx="13">
                  <c:v>7.9426514380635439E-14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0A7-0E46-8FFE-B7295264E421}"/>
            </c:ext>
          </c:extLst>
        </c:ser>
        <c:ser>
          <c:idx val="4"/>
          <c:order val="4"/>
          <c:tx>
            <c:v>Fe(OH)4-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'Ex 4 Hydrolysis of iron'!$A$2:$A$15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'Ex 4 Hydrolysis of iron'!$F$2:$F$15</c:f>
              <c:numCache>
                <c:formatCode>General</c:formatCode>
                <c:ptCount val="14"/>
                <c:pt idx="0">
                  <c:v>1.9934846435435727E-32</c:v>
                </c:pt>
                <c:pt idx="1">
                  <c:v>1.9775406099488667E-28</c:v>
                </c:pt>
                <c:pt idx="2">
                  <c:v>1.823784784467565E-24</c:v>
                </c:pt>
                <c:pt idx="3">
                  <c:v>8.3797736152575546E-21</c:v>
                </c:pt>
                <c:pt idx="4">
                  <c:v>3.3871832589195683E-18</c:v>
                </c:pt>
                <c:pt idx="5">
                  <c:v>3.9875226516734955E-16</c:v>
                </c:pt>
                <c:pt idx="6">
                  <c:v>3.9390028285974496E-14</c:v>
                </c:pt>
                <c:pt idx="7">
                  <c:v>3.0679703767577347E-12</c:v>
                </c:pt>
                <c:pt idx="8">
                  <c:v>8.7734413716934858E-11</c:v>
                </c:pt>
                <c:pt idx="9">
                  <c:v>5.4979028101163861E-10</c:v>
                </c:pt>
                <c:pt idx="10">
                  <c:v>9.262018187998266E-10</c:v>
                </c:pt>
                <c:pt idx="11">
                  <c:v>9.9211689998371398E-10</c:v>
                </c:pt>
                <c:pt idx="12">
                  <c:v>9.9920627771369272E-10</c:v>
                </c:pt>
                <c:pt idx="13">
                  <c:v>9.9992057324016784E-10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0A7-0E46-8FFE-B7295264E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056559"/>
        <c:axId val="1264189487"/>
      </c:scatterChart>
      <c:valAx>
        <c:axId val="1248056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4189487"/>
        <c:crossesAt val="9.9999999999999998E-17"/>
        <c:crossBetween val="midCat"/>
      </c:valAx>
      <c:valAx>
        <c:axId val="1264189487"/>
        <c:scaling>
          <c:logBase val="10"/>
          <c:orientation val="minMax"/>
          <c:max val="1.0000000000000001E-9"/>
          <c:min val="9.9999999999999998E-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48056559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Hydrolysis of Fe(III)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Fe3+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 4 Hydrolysis of iron'!$A$19:$A$32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'Ex 4 Hydrolysis of iron'!$B$19:$B$32</c:f>
              <c:numCache>
                <c:formatCode>0.00</c:formatCode>
                <c:ptCount val="14"/>
                <c:pt idx="0">
                  <c:v>0.99910905377605563</c:v>
                </c:pt>
                <c:pt idx="1">
                  <c:v>0.99111810768586461</c:v>
                </c:pt>
                <c:pt idx="2">
                  <c:v>0.91405765085881296</c:v>
                </c:pt>
                <c:pt idx="3">
                  <c:v>0.41998355566537549</c:v>
                </c:pt>
                <c:pt idx="4">
                  <c:v>1.6976130073265129E-2</c:v>
                </c:pt>
                <c:pt idx="5">
                  <c:v>1.9984954468183313E-4</c:v>
                </c:pt>
                <c:pt idx="6">
                  <c:v>1.9741779309147633E-6</c:v>
                </c:pt>
                <c:pt idx="7">
                  <c:v>1.5376275859776349E-8</c:v>
                </c:pt>
                <c:pt idx="8">
                  <c:v>4.3971368104701342E-11</c:v>
                </c:pt>
                <c:pt idx="9">
                  <c:v>2.7554787001538471E-14</c:v>
                </c:pt>
                <c:pt idx="10">
                  <c:v>4.6420052734483471E-18</c:v>
                </c:pt>
                <c:pt idx="11">
                  <c:v>4.9723632453770445E-22</c:v>
                </c:pt>
                <c:pt idx="12">
                  <c:v>5.0078943015033129E-26</c:v>
                </c:pt>
                <c:pt idx="13">
                  <c:v>5.0114742594923777E-30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11-0B4C-874E-6843EDBB37D5}"/>
            </c:ext>
          </c:extLst>
        </c:ser>
        <c:ser>
          <c:idx val="1"/>
          <c:order val="1"/>
          <c:tx>
            <c:v>FeOH2+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'Ex 4 Hydrolysis of iron'!$A$19:$A$32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'Ex 4 Hydrolysis of iron'!$C$19:$C$32</c:f>
              <c:numCache>
                <c:formatCode>0.00</c:formatCode>
                <c:ptCount val="14"/>
                <c:pt idx="0">
                  <c:v>8.9045688147582828E-4</c:v>
                </c:pt>
                <c:pt idx="1">
                  <c:v>8.833349432763692E-3</c:v>
                </c:pt>
                <c:pt idx="2">
                  <c:v>8.1465473883624462E-2</c:v>
                </c:pt>
                <c:pt idx="3">
                  <c:v>0.37431073798751197</c:v>
                </c:pt>
                <c:pt idx="4">
                  <c:v>0.15129991853678032</c:v>
                </c:pt>
                <c:pt idx="5">
                  <c:v>1.7811609418328562E-2</c:v>
                </c:pt>
                <c:pt idx="6">
                  <c:v>1.7594879329707195E-3</c:v>
                </c:pt>
                <c:pt idx="7">
                  <c:v>1.3704120285028935E-4</c:v>
                </c:pt>
                <c:pt idx="8">
                  <c:v>3.9189523074339324E-6</c:v>
                </c:pt>
                <c:pt idx="9">
                  <c:v>2.4558229765196694E-8</c:v>
                </c:pt>
                <c:pt idx="10">
                  <c:v>4.1371915547826328E-11</c:v>
                </c:pt>
                <c:pt idx="11">
                  <c:v>4.4316234071840468E-14</c:v>
                </c:pt>
                <c:pt idx="12">
                  <c:v>4.4632904942894653E-17</c:v>
                </c:pt>
                <c:pt idx="13">
                  <c:v>4.4664811352056984E-20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11-0B4C-874E-6843EDBB37D5}"/>
            </c:ext>
          </c:extLst>
        </c:ser>
        <c:ser>
          <c:idx val="2"/>
          <c:order val="2"/>
          <c:tx>
            <c:v>Fe(OH)2+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'Ex 4 Hydrolysis of iron'!$A$19:$A$32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'Ex 4 Hydrolysis of iron'!$D$19:$D$32</c:f>
              <c:numCache>
                <c:formatCode>0.00</c:formatCode>
                <c:ptCount val="14"/>
                <c:pt idx="0">
                  <c:v>4.8934245277876195E-7</c:v>
                </c:pt>
                <c:pt idx="1">
                  <c:v>4.8542865663707123E-5</c:v>
                </c:pt>
                <c:pt idx="2">
                  <c:v>4.4768607707232483E-3</c:v>
                </c:pt>
                <c:pt idx="3">
                  <c:v>0.20569905004794972</c:v>
                </c:pt>
                <c:pt idx="4">
                  <c:v>0.83145489447289689</c:v>
                </c:pt>
                <c:pt idx="5">
                  <c:v>0.97882074045589751</c:v>
                </c:pt>
                <c:pt idx="6">
                  <c:v>0.96691053622667478</c:v>
                </c:pt>
                <c:pt idx="7">
                  <c:v>0.75309742368848009</c:v>
                </c:pt>
                <c:pt idx="8">
                  <c:v>0.21536244756335973</c:v>
                </c:pt>
                <c:pt idx="9">
                  <c:v>1.3495751045562518E-2</c:v>
                </c:pt>
                <c:pt idx="10">
                  <c:v>2.273555862331633E-4</c:v>
                </c:pt>
                <c:pt idx="11">
                  <c:v>2.4353581997918243E-6</c:v>
                </c:pt>
                <c:pt idx="12">
                  <c:v>2.4527605585122617E-8</c:v>
                </c:pt>
                <c:pt idx="13">
                  <c:v>2.4545139461095351E-10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11-0B4C-874E-6843EDBB37D5}"/>
            </c:ext>
          </c:extLst>
        </c:ser>
        <c:ser>
          <c:idx val="3"/>
          <c:order val="3"/>
          <c:tx>
            <c:v>Fe(OH)3aq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'Ex 4 Hydrolysis of iron'!$A$19:$A$32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'Ex 4 Hydrolysis of iron'!$E$19:$E$32</c:f>
              <c:numCache>
                <c:formatCode>0.00</c:formatCode>
                <c:ptCount val="14"/>
                <c:pt idx="0">
                  <c:v>1.5834811378559302E-14</c:v>
                </c:pt>
                <c:pt idx="1">
                  <c:v>1.5708163417962627E-11</c:v>
                </c:pt>
                <c:pt idx="2">
                  <c:v>1.4486837483631254E-8</c:v>
                </c:pt>
                <c:pt idx="3">
                  <c:v>6.6562907831966449E-6</c:v>
                </c:pt>
                <c:pt idx="4">
                  <c:v>2.6905352987452203E-4</c:v>
                </c:pt>
                <c:pt idx="5">
                  <c:v>3.1674018288268936E-3</c:v>
                </c:pt>
                <c:pt idx="6">
                  <c:v>3.1288611634137646E-2</c:v>
                </c:pt>
                <c:pt idx="7">
                  <c:v>0.24369754935563614</c:v>
                </c:pt>
                <c:pt idx="8">
                  <c:v>0.69689921972342661</c:v>
                </c:pt>
                <c:pt idx="9">
                  <c:v>0.43671394338454156</c:v>
                </c:pt>
                <c:pt idx="10">
                  <c:v>7.3570825572568527E-2</c:v>
                </c:pt>
                <c:pt idx="11">
                  <c:v>7.8806646580419012E-3</c:v>
                </c:pt>
                <c:pt idx="12">
                  <c:v>7.9369775870173783E-4</c:v>
                </c:pt>
                <c:pt idx="13">
                  <c:v>7.9426514380635438E-5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11-0B4C-874E-6843EDBB37D5}"/>
            </c:ext>
          </c:extLst>
        </c:ser>
        <c:ser>
          <c:idx val="4"/>
          <c:order val="4"/>
          <c:tx>
            <c:v>Fe(OH)4-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'Ex 4 Hydrolysis of iron'!$A$19:$A$32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'Ex 4 Hydrolysis of iron'!$F$19:$F$32</c:f>
              <c:numCache>
                <c:formatCode>0.00</c:formatCode>
                <c:ptCount val="14"/>
                <c:pt idx="0">
                  <c:v>1.9934846435435726E-23</c:v>
                </c:pt>
                <c:pt idx="1">
                  <c:v>1.9775406099488667E-19</c:v>
                </c:pt>
                <c:pt idx="2">
                  <c:v>1.8237847844675648E-15</c:v>
                </c:pt>
                <c:pt idx="3">
                  <c:v>8.3797736152575544E-12</c:v>
                </c:pt>
                <c:pt idx="4">
                  <c:v>3.387183258919568E-9</c:v>
                </c:pt>
                <c:pt idx="5">
                  <c:v>3.9875226516734952E-7</c:v>
                </c:pt>
                <c:pt idx="6">
                  <c:v>3.9390028285974495E-5</c:v>
                </c:pt>
                <c:pt idx="7">
                  <c:v>3.0679703767577345E-3</c:v>
                </c:pt>
                <c:pt idx="8">
                  <c:v>8.7734413716934856E-2</c:v>
                </c:pt>
                <c:pt idx="9">
                  <c:v>0.54979028101163863</c:v>
                </c:pt>
                <c:pt idx="10">
                  <c:v>0.92620181879982655</c:v>
                </c:pt>
                <c:pt idx="11">
                  <c:v>0.99211689998371388</c:v>
                </c:pt>
                <c:pt idx="12">
                  <c:v>0.99920627771369264</c:v>
                </c:pt>
                <c:pt idx="13">
                  <c:v>0.99992057324016781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611-0B4C-874E-6843EDBB3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056559"/>
        <c:axId val="1264189487"/>
      </c:scatterChart>
      <c:valAx>
        <c:axId val="1248056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4189487"/>
        <c:crossesAt val="9.9999999999999998E-17"/>
        <c:crossBetween val="midCat"/>
      </c:valAx>
      <c:valAx>
        <c:axId val="1264189487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48056559"/>
        <c:crossesAt val="0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Distribution of complexes as a</a:t>
            </a:r>
            <a:r>
              <a:rPr lang="en-GB" baseline="0"/>
              <a:t> function of ligand concentration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M/Mt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'Example complex distribution'!$H$2:$H$11</c:f>
              <c:numCache>
                <c:formatCode>General</c:formatCode>
                <c:ptCount val="10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</c:numCache>
            </c:numRef>
          </c:xVal>
          <c:yVal>
            <c:numRef>
              <c:f>'Example complex distribution'!$E$2:$E$11</c:f>
              <c:numCache>
                <c:formatCode>0.0</c:formatCode>
                <c:ptCount val="10"/>
                <c:pt idx="0">
                  <c:v>0.9990000009990001</c:v>
                </c:pt>
                <c:pt idx="1">
                  <c:v>0.99000099000098996</c:v>
                </c:pt>
                <c:pt idx="2">
                  <c:v>0.90090090090090091</c:v>
                </c:pt>
                <c:pt idx="3">
                  <c:v>0.33333333333333343</c:v>
                </c:pt>
                <c:pt idx="4">
                  <c:v>9.009009009009028E-3</c:v>
                </c:pt>
                <c:pt idx="5">
                  <c:v>9.9000099000101649E-5</c:v>
                </c:pt>
                <c:pt idx="6">
                  <c:v>9.9900000105623832E-7</c:v>
                </c:pt>
                <c:pt idx="7">
                  <c:v>9.9990000723693129E-9</c:v>
                </c:pt>
                <c:pt idx="8">
                  <c:v>9.9999009073314937E-11</c:v>
                </c:pt>
                <c:pt idx="9">
                  <c:v>9.999778782798785E-13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DF-D041-86E4-57A61E3A6DB1}"/>
            </c:ext>
          </c:extLst>
        </c:ser>
        <c:ser>
          <c:idx val="1"/>
          <c:order val="1"/>
          <c:tx>
            <c:v>ML/Mt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'Example complex distribution'!$H$2:$H$11</c:f>
              <c:numCache>
                <c:formatCode>General</c:formatCode>
                <c:ptCount val="10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</c:numCache>
            </c:numRef>
          </c:xVal>
          <c:yVal>
            <c:numRef>
              <c:f>'Example complex distribution'!$F$2:$F$11</c:f>
              <c:numCache>
                <c:formatCode>0.0</c:formatCode>
                <c:ptCount val="10"/>
                <c:pt idx="0">
                  <c:v>9.9900000099900025E-4</c:v>
                </c:pt>
                <c:pt idx="1">
                  <c:v>9.9000099000098978E-3</c:v>
                </c:pt>
                <c:pt idx="2">
                  <c:v>9.0090090090090072E-2</c:v>
                </c:pt>
                <c:pt idx="3">
                  <c:v>0.33333333333333331</c:v>
                </c:pt>
                <c:pt idx="4">
                  <c:v>9.0090090090090086E-2</c:v>
                </c:pt>
                <c:pt idx="5">
                  <c:v>9.9000099000098978E-3</c:v>
                </c:pt>
                <c:pt idx="6">
                  <c:v>9.9900000099900003E-4</c:v>
                </c:pt>
                <c:pt idx="7">
                  <c:v>9.9990000000099987E-5</c:v>
                </c:pt>
                <c:pt idx="8">
                  <c:v>9.9999000000000108E-6</c:v>
                </c:pt>
                <c:pt idx="9">
                  <c:v>9.9999899999999993E-7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DF-D041-86E4-57A61E3A6DB1}"/>
            </c:ext>
          </c:extLst>
        </c:ser>
        <c:ser>
          <c:idx val="2"/>
          <c:order val="2"/>
          <c:tx>
            <c:v>ML2/Mt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'Example complex distribution'!$H$2:$H$11</c:f>
              <c:numCache>
                <c:formatCode>General</c:formatCode>
                <c:ptCount val="10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</c:numCache>
            </c:numRef>
          </c:xVal>
          <c:yVal>
            <c:numRef>
              <c:f>'Example complex distribution'!$G$2:$G$11</c:f>
              <c:numCache>
                <c:formatCode>0.0</c:formatCode>
                <c:ptCount val="10"/>
                <c:pt idx="0">
                  <c:v>9.9900000099900007E-7</c:v>
                </c:pt>
                <c:pt idx="1">
                  <c:v>9.9000099000098979E-5</c:v>
                </c:pt>
                <c:pt idx="2">
                  <c:v>9.0090090090090072E-3</c:v>
                </c:pt>
                <c:pt idx="3">
                  <c:v>0.33333333333333331</c:v>
                </c:pt>
                <c:pt idx="4">
                  <c:v>0.90090090090090091</c:v>
                </c:pt>
                <c:pt idx="5">
                  <c:v>0.99000099000098996</c:v>
                </c:pt>
                <c:pt idx="6">
                  <c:v>0.99900000099899999</c:v>
                </c:pt>
                <c:pt idx="7">
                  <c:v>0.99990000000099988</c:v>
                </c:pt>
                <c:pt idx="8">
                  <c:v>0.99999000000000104</c:v>
                </c:pt>
                <c:pt idx="9">
                  <c:v>0.99999899999999997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DF-D041-86E4-57A61E3A6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4384095"/>
        <c:axId val="554507647"/>
      </c:scatterChart>
      <c:valAx>
        <c:axId val="554384095"/>
        <c:scaling>
          <c:orientation val="minMax"/>
          <c:max val="0"/>
          <c:min val="-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log(L)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54507647"/>
        <c:crossesAt val="0"/>
        <c:crossBetween val="midCat"/>
      </c:valAx>
      <c:valAx>
        <c:axId val="55450764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MLi/Mt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54384095"/>
        <c:crossesAt val="-6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Flocculation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'Ex 5 Flocculation Al'!$B$1</c:f>
              <c:strCache>
                <c:ptCount val="1"/>
                <c:pt idx="0">
                  <c:v>Al3+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 5 Flocculation Al'!$A$2:$A$16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xVal>
          <c:yVal>
            <c:numRef>
              <c:f>'Ex 5 Flocculation Al'!$B$2:$B$16</c:f>
              <c:numCache>
                <c:formatCode>General</c:formatCode>
                <c:ptCount val="15"/>
                <c:pt idx="0">
                  <c:v>8.1</c:v>
                </c:pt>
                <c:pt idx="1">
                  <c:v>5.0999999999999996</c:v>
                </c:pt>
                <c:pt idx="2">
                  <c:v>2.0999999999999996</c:v>
                </c:pt>
                <c:pt idx="3">
                  <c:v>-0.90000000000000036</c:v>
                </c:pt>
                <c:pt idx="4">
                  <c:v>-3.9000000000000004</c:v>
                </c:pt>
                <c:pt idx="5">
                  <c:v>-6.9</c:v>
                </c:pt>
                <c:pt idx="6">
                  <c:v>-9.9</c:v>
                </c:pt>
                <c:pt idx="7">
                  <c:v>-12.9</c:v>
                </c:pt>
                <c:pt idx="8">
                  <c:v>-15.9</c:v>
                </c:pt>
                <c:pt idx="9">
                  <c:v>-18.899999999999999</c:v>
                </c:pt>
                <c:pt idx="10">
                  <c:v>-21.9</c:v>
                </c:pt>
                <c:pt idx="11">
                  <c:v>-24.9</c:v>
                </c:pt>
                <c:pt idx="12">
                  <c:v>-27.9</c:v>
                </c:pt>
                <c:pt idx="13">
                  <c:v>-30.9</c:v>
                </c:pt>
                <c:pt idx="14">
                  <c:v>-33.9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A1-1047-9211-74DED322ED01}"/>
            </c:ext>
          </c:extLst>
        </c:ser>
        <c:ser>
          <c:idx val="1"/>
          <c:order val="1"/>
          <c:tx>
            <c:strRef>
              <c:f>'Ex 5 Flocculation Al'!$C$1</c:f>
              <c:strCache>
                <c:ptCount val="1"/>
                <c:pt idx="0">
                  <c:v>Al(OH)+2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'Ex 5 Flocculation Al'!$A$2:$A$16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xVal>
          <c:yVal>
            <c:numRef>
              <c:f>'Ex 5 Flocculation Al'!$C$2:$C$16</c:f>
              <c:numCache>
                <c:formatCode>General</c:formatCode>
                <c:ptCount val="15"/>
                <c:pt idx="0">
                  <c:v>3.1</c:v>
                </c:pt>
                <c:pt idx="1">
                  <c:v>1.1000000000000001</c:v>
                </c:pt>
                <c:pt idx="2">
                  <c:v>-0.89999999999999991</c:v>
                </c:pt>
                <c:pt idx="3">
                  <c:v>-2.9</c:v>
                </c:pt>
                <c:pt idx="4">
                  <c:v>-4.9000000000000004</c:v>
                </c:pt>
                <c:pt idx="5">
                  <c:v>-6.9</c:v>
                </c:pt>
                <c:pt idx="6">
                  <c:v>-8.9</c:v>
                </c:pt>
                <c:pt idx="7">
                  <c:v>-10.9</c:v>
                </c:pt>
                <c:pt idx="8">
                  <c:v>-12.9</c:v>
                </c:pt>
                <c:pt idx="9">
                  <c:v>-14.9</c:v>
                </c:pt>
                <c:pt idx="10">
                  <c:v>-16.899999999999999</c:v>
                </c:pt>
                <c:pt idx="11">
                  <c:v>-18.899999999999999</c:v>
                </c:pt>
                <c:pt idx="12">
                  <c:v>-20.9</c:v>
                </c:pt>
                <c:pt idx="13">
                  <c:v>-22.9</c:v>
                </c:pt>
                <c:pt idx="14">
                  <c:v>-24.9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3A1-1047-9211-74DED322ED01}"/>
            </c:ext>
          </c:extLst>
        </c:ser>
        <c:ser>
          <c:idx val="2"/>
          <c:order val="2"/>
          <c:tx>
            <c:strRef>
              <c:f>'Ex 5 Flocculation Al'!$D$1</c:f>
              <c:strCache>
                <c:ptCount val="1"/>
                <c:pt idx="0">
                  <c:v>Al(OH)2+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'Ex 5 Flocculation Al'!$A$2:$A$16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xVal>
          <c:yVal>
            <c:numRef>
              <c:f>'Ex 5 Flocculation Al'!$D$2:$D$16</c:f>
              <c:numCache>
                <c:formatCode>General</c:formatCode>
                <c:ptCount val="15"/>
                <c:pt idx="0">
                  <c:v>-2</c:v>
                </c:pt>
                <c:pt idx="1">
                  <c:v>-3</c:v>
                </c:pt>
                <c:pt idx="2">
                  <c:v>-4</c:v>
                </c:pt>
                <c:pt idx="3">
                  <c:v>-5</c:v>
                </c:pt>
                <c:pt idx="4">
                  <c:v>-6</c:v>
                </c:pt>
                <c:pt idx="5">
                  <c:v>-7</c:v>
                </c:pt>
                <c:pt idx="6">
                  <c:v>-8</c:v>
                </c:pt>
                <c:pt idx="7">
                  <c:v>-9</c:v>
                </c:pt>
                <c:pt idx="8">
                  <c:v>-10</c:v>
                </c:pt>
                <c:pt idx="9">
                  <c:v>-11</c:v>
                </c:pt>
                <c:pt idx="10">
                  <c:v>-12</c:v>
                </c:pt>
                <c:pt idx="11">
                  <c:v>-13</c:v>
                </c:pt>
                <c:pt idx="12">
                  <c:v>-14</c:v>
                </c:pt>
                <c:pt idx="13">
                  <c:v>-15</c:v>
                </c:pt>
                <c:pt idx="14">
                  <c:v>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3A1-1047-9211-74DED322ED01}"/>
            </c:ext>
          </c:extLst>
        </c:ser>
        <c:ser>
          <c:idx val="3"/>
          <c:order val="3"/>
          <c:tx>
            <c:strRef>
              <c:f>'Ex 5 Flocculation Al'!$E$1</c:f>
              <c:strCache>
                <c:ptCount val="1"/>
                <c:pt idx="0">
                  <c:v>Al(OH)3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'Ex 5 Flocculation Al'!$A$2:$A$16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xVal>
          <c:yVal>
            <c:numRef>
              <c:f>'Ex 5 Flocculation Al'!$E$2:$E$16</c:f>
              <c:numCache>
                <c:formatCode>General</c:formatCode>
                <c:ptCount val="15"/>
                <c:pt idx="0">
                  <c:v>-8.5</c:v>
                </c:pt>
                <c:pt idx="1">
                  <c:v>-8.5</c:v>
                </c:pt>
                <c:pt idx="2">
                  <c:v>-8.5</c:v>
                </c:pt>
                <c:pt idx="3">
                  <c:v>-8.5</c:v>
                </c:pt>
                <c:pt idx="4">
                  <c:v>-8.5</c:v>
                </c:pt>
                <c:pt idx="5">
                  <c:v>-8.5</c:v>
                </c:pt>
                <c:pt idx="6">
                  <c:v>-8.5</c:v>
                </c:pt>
                <c:pt idx="7">
                  <c:v>-8.5</c:v>
                </c:pt>
                <c:pt idx="8">
                  <c:v>-8.5</c:v>
                </c:pt>
                <c:pt idx="9">
                  <c:v>-8.5</c:v>
                </c:pt>
                <c:pt idx="10">
                  <c:v>-8.5</c:v>
                </c:pt>
                <c:pt idx="11">
                  <c:v>-8.5</c:v>
                </c:pt>
                <c:pt idx="12">
                  <c:v>-8.5</c:v>
                </c:pt>
                <c:pt idx="13">
                  <c:v>-8.5</c:v>
                </c:pt>
                <c:pt idx="14">
                  <c:v>-8.5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3A1-1047-9211-74DED322ED01}"/>
            </c:ext>
          </c:extLst>
        </c:ser>
        <c:ser>
          <c:idx val="4"/>
          <c:order val="4"/>
          <c:tx>
            <c:strRef>
              <c:f>'Ex 5 Flocculation Al'!$F$1</c:f>
              <c:strCache>
                <c:ptCount val="1"/>
                <c:pt idx="0">
                  <c:v>Al(OH)4-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'Ex 5 Flocculation Al'!$A$2:$A$16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xVal>
          <c:yVal>
            <c:numRef>
              <c:f>'Ex 5 Flocculation Al'!$F$2:$F$16</c:f>
              <c:numCache>
                <c:formatCode>General</c:formatCode>
                <c:ptCount val="15"/>
                <c:pt idx="0">
                  <c:v>-14.1</c:v>
                </c:pt>
                <c:pt idx="1">
                  <c:v>-13.1</c:v>
                </c:pt>
                <c:pt idx="2">
                  <c:v>-12.1</c:v>
                </c:pt>
                <c:pt idx="3">
                  <c:v>-11.1</c:v>
                </c:pt>
                <c:pt idx="4">
                  <c:v>-10.1</c:v>
                </c:pt>
                <c:pt idx="5">
                  <c:v>-9.1</c:v>
                </c:pt>
                <c:pt idx="6">
                  <c:v>-8.1</c:v>
                </c:pt>
                <c:pt idx="7">
                  <c:v>-7.1</c:v>
                </c:pt>
                <c:pt idx="8">
                  <c:v>-6.1</c:v>
                </c:pt>
                <c:pt idx="9">
                  <c:v>-5.0999999999999996</c:v>
                </c:pt>
                <c:pt idx="10">
                  <c:v>-4.0999999999999996</c:v>
                </c:pt>
                <c:pt idx="11">
                  <c:v>-3.0999999999999996</c:v>
                </c:pt>
                <c:pt idx="12">
                  <c:v>-2.0999999999999996</c:v>
                </c:pt>
                <c:pt idx="13">
                  <c:v>-1.0999999999999996</c:v>
                </c:pt>
                <c:pt idx="14">
                  <c:v>-9.9999999999999645E-2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3A1-1047-9211-74DED322ED01}"/>
            </c:ext>
          </c:extLst>
        </c:ser>
        <c:ser>
          <c:idx val="5"/>
          <c:order val="5"/>
          <c:tx>
            <c:v>Altot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'Ex 5 Flocculation Al'!$A$2:$A$16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xVal>
          <c:yVal>
            <c:numRef>
              <c:f>'Ex 5 Flocculation Al'!$G$2:$G$16</c:f>
              <c:numCache>
                <c:formatCode>General</c:formatCode>
                <c:ptCount val="15"/>
                <c:pt idx="0">
                  <c:v>8.1000043429576021</c:v>
                </c:pt>
                <c:pt idx="1">
                  <c:v>5.1000434307262523</c:v>
                </c:pt>
                <c:pt idx="2">
                  <c:v>2.1004344221178237</c:v>
                </c:pt>
                <c:pt idx="3">
                  <c:v>-0.89564446105302897</c:v>
                </c:pt>
                <c:pt idx="4">
                  <c:v>-3.8554723780066089</c:v>
                </c:pt>
                <c:pt idx="5">
                  <c:v>-6.4488652382224876</c:v>
                </c:pt>
                <c:pt idx="6">
                  <c:v>-7.6480032459992184</c:v>
                </c:pt>
                <c:pt idx="7">
                  <c:v>-7.0777531195912449</c:v>
                </c:pt>
                <c:pt idx="8">
                  <c:v>-6.0982199521309912</c:v>
                </c:pt>
                <c:pt idx="9">
                  <c:v>-5.09982659206376</c:v>
                </c:pt>
                <c:pt idx="10">
                  <c:v>-4.0999827053021134</c:v>
                </c:pt>
                <c:pt idx="11">
                  <c:v>-3.0999982709912932</c:v>
                </c:pt>
                <c:pt idx="12">
                  <c:v>-2.0999998271037401</c:v>
                </c:pt>
                <c:pt idx="13">
                  <c:v>-1.0999999827104199</c:v>
                </c:pt>
                <c:pt idx="14">
                  <c:v>-9.9999998271042112E-2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13A1-1047-9211-74DED322E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909839"/>
        <c:axId val="873911567"/>
      </c:scatterChart>
      <c:valAx>
        <c:axId val="873909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873911567"/>
        <c:crossesAt val="-20"/>
        <c:crossBetween val="midCat"/>
      </c:valAx>
      <c:valAx>
        <c:axId val="873911567"/>
        <c:scaling>
          <c:orientation val="minMax"/>
          <c:max val="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log concentrations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873909839"/>
        <c:crossesAt val="-20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196850</xdr:colOff>
      <xdr:row>1</xdr:row>
      <xdr:rowOff>95250</xdr:rowOff>
    </xdr:from>
    <xdr:to>
      <xdr:col>16</xdr:col>
      <xdr:colOff>25400</xdr:colOff>
      <xdr:row>16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1BD07A-D538-0040-B8B3-9659E1F61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215900</xdr:colOff>
      <xdr:row>31</xdr:row>
      <xdr:rowOff>165100</xdr:rowOff>
    </xdr:from>
    <xdr:to>
      <xdr:col>16</xdr:col>
      <xdr:colOff>44450</xdr:colOff>
      <xdr:row>46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257856-72B2-8641-96FD-2862322DE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196850</xdr:colOff>
      <xdr:row>1</xdr:row>
      <xdr:rowOff>95250</xdr:rowOff>
    </xdr:from>
    <xdr:to>
      <xdr:col>16</xdr:col>
      <xdr:colOff>25400</xdr:colOff>
      <xdr:row>16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834E18-CD08-8BFF-AAAD-E3AD9D8AC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215900</xdr:colOff>
      <xdr:row>17</xdr:row>
      <xdr:rowOff>165100</xdr:rowOff>
    </xdr:from>
    <xdr:to>
      <xdr:col>16</xdr:col>
      <xdr:colOff>44450</xdr:colOff>
      <xdr:row>32</xdr:row>
      <xdr:rowOff>146050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FC139E5-5F2D-E048-BA9A-1784E53FA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25400</xdr:colOff>
      <xdr:row>0</xdr:row>
      <xdr:rowOff>76200</xdr:rowOff>
    </xdr:from>
    <xdr:to>
      <xdr:col>16</xdr:col>
      <xdr:colOff>781050</xdr:colOff>
      <xdr:row>15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789F04-FC4C-A941-AA6B-308AA1A8F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374650</xdr:colOff>
      <xdr:row>0</xdr:row>
      <xdr:rowOff>114300</xdr:rowOff>
    </xdr:from>
    <xdr:to>
      <xdr:col>17</xdr:col>
      <xdr:colOff>787400</xdr:colOff>
      <xdr:row>19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802A13-D1BB-CA85-0582-5B0068EFE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23C55-B708-2148-9F87-3A1BB29BD1E4}">
  <dimension ref="A1:J61"/>
  <sheetViews>
    <sheetView zoomScaleNormal="100" workbookViewId="0">
      <selection activeCell="F12" sqref="F12"/>
    </sheetView>
  </sheetViews>
  <sheetFormatPr baseColWidth="10" defaultRowHeight="16" x14ac:dyDescent="0.2"/>
  <cols>
    <col min="2" max="2" width="12.83203125" bestFit="1" customWidth="1"/>
    <col min="3" max="4" width="12.1640625" bestFit="1" customWidth="1"/>
    <col min="5" max="7" width="15.6640625" bestFit="1" customWidth="1"/>
    <col min="13" max="13" width="12.1640625" bestFit="1" customWidth="1"/>
  </cols>
  <sheetData>
    <row r="1" spans="1:10" x14ac:dyDescent="0.2">
      <c r="A1" t="s">
        <v>0</v>
      </c>
      <c r="B1" t="s">
        <v>34</v>
      </c>
      <c r="C1" t="s">
        <v>35</v>
      </c>
      <c r="D1" t="s">
        <v>36</v>
      </c>
      <c r="E1" t="s">
        <v>37</v>
      </c>
      <c r="I1" t="s">
        <v>15</v>
      </c>
    </row>
    <row r="2" spans="1:10" x14ac:dyDescent="0.2">
      <c r="A2">
        <v>0</v>
      </c>
      <c r="B2" s="1">
        <f>10^-5</f>
        <v>1.0000000000000001E-5</v>
      </c>
      <c r="C2">
        <f>B2/(1+10^$J$2/10^-A2+10^$J$3/10^(-2*A2))</f>
        <v>9.999999800473616E-6</v>
      </c>
      <c r="D2">
        <f>10^$J$2*C2/10^-A2</f>
        <v>1.9952622751581299E-13</v>
      </c>
      <c r="E2">
        <f>10^$J$3*C2/(10^-(2*A2))</f>
        <v>1.5848931608383078E-19</v>
      </c>
      <c r="G2" s="1"/>
      <c r="I2" t="s">
        <v>21</v>
      </c>
      <c r="J2">
        <v>-7.7</v>
      </c>
    </row>
    <row r="3" spans="1:10" x14ac:dyDescent="0.2">
      <c r="A3">
        <f>A2+0.5</f>
        <v>0.5</v>
      </c>
      <c r="B3" s="1">
        <f t="shared" ref="B3:B30" si="0">10^-5</f>
        <v>1.0000000000000001E-5</v>
      </c>
      <c r="C3">
        <f t="shared" ref="C3:C15" si="1">B3/(1+10^$J$2/10^-A3+10^$J$3/10^(-2*A3))</f>
        <v>9.9999993690411113E-6</v>
      </c>
      <c r="D3">
        <f t="shared" ref="D3:D15" si="2">10^$J$2*C3/10^-A3</f>
        <v>6.3095730466937804E-13</v>
      </c>
      <c r="E3">
        <f t="shared" ref="E3:E15" si="3">10^$J$3*C3/(10^-(2*A3))</f>
        <v>1.5848930924608636E-18</v>
      </c>
      <c r="G3" s="1"/>
      <c r="I3" t="s">
        <v>23</v>
      </c>
      <c r="J3">
        <v>-13.8</v>
      </c>
    </row>
    <row r="4" spans="1:10" x14ac:dyDescent="0.2">
      <c r="A4">
        <f t="shared" ref="A4:A17" si="4">A3+0.5</f>
        <v>1</v>
      </c>
      <c r="B4" s="1">
        <f t="shared" si="0"/>
        <v>1.0000000000000001E-5</v>
      </c>
      <c r="C4">
        <f t="shared" si="1"/>
        <v>9.9999980047222344E-6</v>
      </c>
      <c r="D4">
        <f t="shared" si="2"/>
        <v>1.9952619168586239E-12</v>
      </c>
      <c r="E4">
        <f t="shared" si="3"/>
        <v>1.5848928762308936E-17</v>
      </c>
      <c r="G4" s="1"/>
    </row>
    <row r="5" spans="1:10" x14ac:dyDescent="0.2">
      <c r="A5">
        <f t="shared" si="4"/>
        <v>1.5</v>
      </c>
      <c r="B5" s="1">
        <f t="shared" si="0"/>
        <v>1.0000000000000001E-5</v>
      </c>
      <c r="C5">
        <f t="shared" si="1"/>
        <v>9.9999936902720498E-6</v>
      </c>
      <c r="D5">
        <f t="shared" si="2"/>
        <v>6.3095694636327352E-12</v>
      </c>
      <c r="E5">
        <f t="shared" si="3"/>
        <v>1.5848921924366208E-16</v>
      </c>
      <c r="G5" s="1"/>
    </row>
    <row r="6" spans="1:10" x14ac:dyDescent="0.2">
      <c r="A6">
        <f t="shared" si="4"/>
        <v>2</v>
      </c>
      <c r="B6" s="1">
        <f t="shared" si="0"/>
        <v>1.0000000000000001E-5</v>
      </c>
      <c r="C6">
        <f t="shared" si="1"/>
        <v>9.9999800458317765E-6</v>
      </c>
      <c r="D6">
        <f t="shared" si="2"/>
        <v>1.995258333588889E-11</v>
      </c>
      <c r="E6">
        <f t="shared" si="3"/>
        <v>1.5848900299385704E-15</v>
      </c>
      <c r="G6" s="1"/>
    </row>
    <row r="7" spans="1:10" x14ac:dyDescent="0.2">
      <c r="A7">
        <f t="shared" si="4"/>
        <v>2.5</v>
      </c>
      <c r="B7" s="1">
        <f t="shared" si="0"/>
        <v>1.0000000000000001E-5</v>
      </c>
      <c r="C7">
        <f t="shared" si="1"/>
        <v>9.9999368888149267E-6</v>
      </c>
      <c r="D7">
        <f t="shared" si="2"/>
        <v>6.3095336243361903E-11</v>
      </c>
      <c r="E7">
        <f t="shared" si="3"/>
        <v>1.584883190012349E-14</v>
      </c>
      <c r="G7" s="1"/>
    </row>
    <row r="8" spans="1:10" x14ac:dyDescent="0.2">
      <c r="A8">
        <f t="shared" si="4"/>
        <v>3</v>
      </c>
      <c r="B8" s="1">
        <f t="shared" si="0"/>
        <v>1.0000000000000001E-5</v>
      </c>
      <c r="C8">
        <f t="shared" si="1"/>
        <v>9.9998003192665032E-6</v>
      </c>
      <c r="D8">
        <f t="shared" si="2"/>
        <v>1.9952224734246201E-10</v>
      </c>
      <c r="E8">
        <f t="shared" si="3"/>
        <v>1.5848615451975901E-13</v>
      </c>
      <c r="G8" s="1"/>
    </row>
    <row r="9" spans="1:10" x14ac:dyDescent="0.2">
      <c r="A9">
        <f t="shared" si="4"/>
        <v>3.5</v>
      </c>
      <c r="B9" s="1">
        <f t="shared" si="0"/>
        <v>1.0000000000000001E-5</v>
      </c>
      <c r="C9">
        <f t="shared" si="1"/>
        <v>9.9993674977707658E-6</v>
      </c>
      <c r="D9">
        <f t="shared" si="2"/>
        <v>6.3091743628749916E-10</v>
      </c>
      <c r="E9">
        <f t="shared" si="3"/>
        <v>1.5847929476133756E-12</v>
      </c>
      <c r="G9" s="1"/>
    </row>
    <row r="10" spans="1:10" x14ac:dyDescent="0.2">
      <c r="A10">
        <f t="shared" si="4"/>
        <v>4</v>
      </c>
      <c r="B10" s="1">
        <f t="shared" si="0"/>
        <v>1.0000000000000001E-5</v>
      </c>
      <c r="C10">
        <f t="shared" si="1"/>
        <v>9.9979892931286277E-6</v>
      </c>
      <c r="D10">
        <f t="shared" si="2"/>
        <v>1.9948611262041874E-9</v>
      </c>
      <c r="E10">
        <f t="shared" si="3"/>
        <v>1.5845745168978609E-11</v>
      </c>
      <c r="G10" s="1"/>
    </row>
    <row r="11" spans="1:10" x14ac:dyDescent="0.2">
      <c r="A11">
        <f t="shared" si="4"/>
        <v>4.5</v>
      </c>
      <c r="B11" s="1">
        <f t="shared" si="0"/>
        <v>1.0000000000000001E-5</v>
      </c>
      <c r="C11">
        <f t="shared" si="1"/>
        <v>9.9935361181153244E-6</v>
      </c>
      <c r="D11">
        <f t="shared" si="2"/>
        <v>6.305495011052946E-9</v>
      </c>
      <c r="E11">
        <f t="shared" si="3"/>
        <v>1.5838687362215188E-10</v>
      </c>
      <c r="G11" s="1"/>
    </row>
    <row r="12" spans="1:10" x14ac:dyDescent="0.2">
      <c r="A12">
        <f t="shared" si="4"/>
        <v>5</v>
      </c>
      <c r="B12" s="1">
        <f t="shared" si="0"/>
        <v>1.0000000000000001E-5</v>
      </c>
      <c r="C12">
        <f t="shared" si="1"/>
        <v>9.9785087704286627E-6</v>
      </c>
      <c r="D12">
        <f t="shared" si="2"/>
        <v>1.9909742509222736E-8</v>
      </c>
      <c r="E12">
        <f t="shared" si="3"/>
        <v>1.5814870621165852E-9</v>
      </c>
      <c r="G12" s="1"/>
    </row>
    <row r="13" spans="1:10" x14ac:dyDescent="0.2">
      <c r="A13">
        <f t="shared" si="4"/>
        <v>5.5</v>
      </c>
      <c r="B13" s="1">
        <f t="shared" si="0"/>
        <v>1.0000000000000001E-5</v>
      </c>
      <c r="C13">
        <f t="shared" si="1"/>
        <v>9.9216736781619398E-6</v>
      </c>
      <c r="D13">
        <f t="shared" si="2"/>
        <v>6.2601528767720874E-8</v>
      </c>
      <c r="E13">
        <f t="shared" si="3"/>
        <v>1.5724793070339426E-8</v>
      </c>
      <c r="G13" s="1"/>
    </row>
    <row r="14" spans="1:10" x14ac:dyDescent="0.2">
      <c r="A14">
        <f t="shared" si="4"/>
        <v>6</v>
      </c>
      <c r="B14" s="1">
        <f t="shared" si="0"/>
        <v>1.0000000000000001E-5</v>
      </c>
      <c r="C14">
        <f t="shared" si="1"/>
        <v>9.6543589368165054E-6</v>
      </c>
      <c r="D14">
        <f t="shared" si="2"/>
        <v>1.9262978561812969E-7</v>
      </c>
      <c r="E14">
        <f t="shared" si="3"/>
        <v>1.5301127756536545E-7</v>
      </c>
      <c r="G14" s="1"/>
    </row>
    <row r="15" spans="1:10" x14ac:dyDescent="0.2">
      <c r="A15">
        <f t="shared" si="4"/>
        <v>6.5</v>
      </c>
      <c r="B15" s="1">
        <f t="shared" si="0"/>
        <v>1.0000000000000001E-5</v>
      </c>
      <c r="C15">
        <f t="shared" si="1"/>
        <v>8.1860857496246649E-6</v>
      </c>
      <c r="D15">
        <f t="shared" si="2"/>
        <v>5.1650709262703345E-7</v>
      </c>
      <c r="E15">
        <f t="shared" si="3"/>
        <v>1.297407157748302E-6</v>
      </c>
      <c r="G15" s="1"/>
    </row>
    <row r="16" spans="1:10" x14ac:dyDescent="0.2">
      <c r="A16">
        <f t="shared" si="4"/>
        <v>7</v>
      </c>
      <c r="B16" s="1">
        <f t="shared" si="0"/>
        <v>1.0000000000000001E-5</v>
      </c>
      <c r="C16">
        <f t="shared" ref="C16:C17" si="5">B16/(1+10^$J$2/10^-A16+10^$J$3/10^(-2*A16))</f>
        <v>3.5914129581042789E-6</v>
      </c>
      <c r="D16">
        <f t="shared" ref="D16:D17" si="6">10^$J$2*C16/10^-A16</f>
        <v>7.1658109327963678E-7</v>
      </c>
      <c r="E16">
        <f t="shared" ref="E16:E17" si="7">10^$J$3*C16/(10^-(2*A16))</f>
        <v>5.6920059486160842E-6</v>
      </c>
    </row>
    <row r="17" spans="1:5" x14ac:dyDescent="0.2">
      <c r="A17">
        <f t="shared" si="4"/>
        <v>7.5</v>
      </c>
      <c r="B17" s="1">
        <f t="shared" si="0"/>
        <v>1.0000000000000001E-5</v>
      </c>
      <c r="C17">
        <f t="shared" si="5"/>
        <v>5.7208600386745294E-7</v>
      </c>
      <c r="D17">
        <f t="shared" si="6"/>
        <v>3.609618658144943E-7</v>
      </c>
      <c r="E17">
        <f t="shared" si="7"/>
        <v>9.0669521303180553E-6</v>
      </c>
    </row>
    <row r="18" spans="1:5" x14ac:dyDescent="0.2">
      <c r="A18">
        <f t="shared" ref="A18:A30" si="8">A17+0.5</f>
        <v>8</v>
      </c>
      <c r="B18" s="1">
        <f t="shared" si="0"/>
        <v>1.0000000000000001E-5</v>
      </c>
      <c r="C18">
        <f t="shared" ref="C18:C30" si="9">B18/(1+10^$J$2/10^-A18+10^$J$3/10^(-2*A18))</f>
        <v>6.1925416676499321E-8</v>
      </c>
      <c r="D18">
        <f t="shared" ref="D18:D30" si="10">10^$J$2*C18/10^-A18</f>
        <v>1.2355745023336434E-7</v>
      </c>
      <c r="E18">
        <f t="shared" ref="E18:E30" si="11">10^$J$3*C18/(10^-(2*A18))</f>
        <v>9.8145171330901387E-6</v>
      </c>
    </row>
    <row r="19" spans="1:5" x14ac:dyDescent="0.2">
      <c r="A19">
        <f t="shared" si="8"/>
        <v>8.5</v>
      </c>
      <c r="B19" s="1">
        <f t="shared" si="0"/>
        <v>1.0000000000000001E-5</v>
      </c>
      <c r="C19">
        <f t="shared" si="9"/>
        <v>6.2806071023939804E-9</v>
      </c>
      <c r="D19">
        <f t="shared" si="10"/>
        <v>3.9627951790499444E-8</v>
      </c>
      <c r="E19">
        <f t="shared" si="11"/>
        <v>9.9540914411071072E-6</v>
      </c>
    </row>
    <row r="20" spans="1:5" x14ac:dyDescent="0.2">
      <c r="A20">
        <f t="shared" si="8"/>
        <v>9</v>
      </c>
      <c r="B20" s="1">
        <f t="shared" si="0"/>
        <v>1.0000000000000001E-5</v>
      </c>
      <c r="C20">
        <f t="shared" si="9"/>
        <v>6.3012430682181571E-10</v>
      </c>
      <c r="D20">
        <f t="shared" si="10"/>
        <v>1.2572632831474551E-8</v>
      </c>
      <c r="E20">
        <f t="shared" si="11"/>
        <v>9.9867972428617042E-6</v>
      </c>
    </row>
    <row r="21" spans="1:5" x14ac:dyDescent="0.2">
      <c r="A21">
        <f t="shared" si="8"/>
        <v>9.5</v>
      </c>
      <c r="B21" s="1">
        <f t="shared" si="0"/>
        <v>1.0000000000000001E-5</v>
      </c>
      <c r="C21">
        <f t="shared" si="9"/>
        <v>6.3070227791852714E-11</v>
      </c>
      <c r="D21">
        <f t="shared" si="10"/>
        <v>3.9794623443308289E-9</v>
      </c>
      <c r="E21">
        <f t="shared" si="11"/>
        <v>9.9959574674278775E-6</v>
      </c>
    </row>
    <row r="22" spans="1:5" x14ac:dyDescent="0.2">
      <c r="A22">
        <f t="shared" si="8"/>
        <v>10</v>
      </c>
      <c r="B22" s="1">
        <f t="shared" si="0"/>
        <v>1.0000000000000001E-5</v>
      </c>
      <c r="C22">
        <f t="shared" si="9"/>
        <v>6.3087752364876317E-12</v>
      </c>
      <c r="D22">
        <f t="shared" si="10"/>
        <v>1.2587661482972636E-9</v>
      </c>
      <c r="E22">
        <f t="shared" si="11"/>
        <v>9.9987349250764668E-6</v>
      </c>
    </row>
    <row r="23" spans="1:5" x14ac:dyDescent="0.2">
      <c r="A23">
        <f t="shared" si="8"/>
        <v>10.5</v>
      </c>
      <c r="B23" s="1">
        <f t="shared" si="0"/>
        <v>1.0000000000000001E-5</v>
      </c>
      <c r="C23">
        <f t="shared" si="9"/>
        <v>6.3093218680829543E-13</v>
      </c>
      <c r="D23">
        <f t="shared" si="10"/>
        <v>3.9809129713564391E-10</v>
      </c>
      <c r="E23">
        <f t="shared" si="11"/>
        <v>9.9996012777706782E-6</v>
      </c>
    </row>
    <row r="24" spans="1:5" x14ac:dyDescent="0.2">
      <c r="A24">
        <f t="shared" si="8"/>
        <v>11</v>
      </c>
      <c r="B24" s="1">
        <f t="shared" si="0"/>
        <v>1.0000000000000001E-5</v>
      </c>
      <c r="C24">
        <f t="shared" si="9"/>
        <v>6.3094939731687536E-14</v>
      </c>
      <c r="D24">
        <f t="shared" si="10"/>
        <v>1.2589095551186868E-10</v>
      </c>
      <c r="E24">
        <f t="shared" si="11"/>
        <v>9.999874045949548E-6</v>
      </c>
    </row>
    <row r="25" spans="1:5" x14ac:dyDescent="0.2">
      <c r="A25">
        <f t="shared" si="8"/>
        <v>11.5</v>
      </c>
      <c r="B25" s="1">
        <f t="shared" si="0"/>
        <v>1.0000000000000001E-5</v>
      </c>
      <c r="C25">
        <f t="shared" si="9"/>
        <v>6.3095483220565987E-15</v>
      </c>
      <c r="D25">
        <f t="shared" si="10"/>
        <v>3.9810558541543019E-11</v>
      </c>
      <c r="E25">
        <f t="shared" si="11"/>
        <v>9.999960183131911E-6</v>
      </c>
    </row>
    <row r="26" spans="1:5" x14ac:dyDescent="0.2">
      <c r="A26">
        <f t="shared" si="8"/>
        <v>12</v>
      </c>
      <c r="B26" s="1">
        <f t="shared" si="0"/>
        <v>1.0000000000000001E-5</v>
      </c>
      <c r="C26">
        <f t="shared" si="9"/>
        <v>6.309565501131501E-16</v>
      </c>
      <c r="D26">
        <f t="shared" si="10"/>
        <v>1.2589238268235403E-11</v>
      </c>
      <c r="E26">
        <f t="shared" si="11"/>
        <v>9.9999874101307766E-6</v>
      </c>
    </row>
    <row r="27" spans="1:5" x14ac:dyDescent="0.2">
      <c r="A27">
        <f t="shared" si="8"/>
        <v>12.5</v>
      </c>
      <c r="B27" s="1">
        <f t="shared" si="0"/>
        <v>1.0000000000000001E-5</v>
      </c>
      <c r="C27">
        <f t="shared" si="9"/>
        <v>6.3095709328767119E-17</v>
      </c>
      <c r="D27">
        <f t="shared" si="10"/>
        <v>3.9810701206173073E-12</v>
      </c>
      <c r="E27">
        <f t="shared" si="11"/>
        <v>9.9999960188667863E-6</v>
      </c>
    </row>
    <row r="28" spans="1:5" x14ac:dyDescent="0.2">
      <c r="A28">
        <f t="shared" si="8"/>
        <v>13</v>
      </c>
      <c r="B28" s="1">
        <f t="shared" si="0"/>
        <v>1.0000000000000001E-5</v>
      </c>
      <c r="C28">
        <f t="shared" si="9"/>
        <v>6.3095726504698369E-18</v>
      </c>
      <c r="D28">
        <f t="shared" si="10"/>
        <v>1.2589252533040761E-12</v>
      </c>
      <c r="E28">
        <f t="shared" si="11"/>
        <v>9.9999987410684381E-6</v>
      </c>
    </row>
    <row r="29" spans="1:5" x14ac:dyDescent="0.2">
      <c r="A29">
        <f t="shared" si="8"/>
        <v>13.5</v>
      </c>
      <c r="B29" s="1">
        <f t="shared" si="0"/>
        <v>1.0000000000000001E-5</v>
      </c>
      <c r="C29">
        <f t="shared" si="9"/>
        <v>6.3095731936129221E-19</v>
      </c>
      <c r="D29">
        <f t="shared" si="10"/>
        <v>3.9810715470454271E-13</v>
      </c>
      <c r="E29">
        <f t="shared" si="11"/>
        <v>9.9999996018922151E-6</v>
      </c>
    </row>
    <row r="30" spans="1:5" x14ac:dyDescent="0.2">
      <c r="A30">
        <f t="shared" si="8"/>
        <v>14</v>
      </c>
      <c r="B30" s="1">
        <f t="shared" si="0"/>
        <v>1.0000000000000001E-5</v>
      </c>
      <c r="C30">
        <f t="shared" si="9"/>
        <v>6.3095733653690907E-20</v>
      </c>
      <c r="D30">
        <f t="shared" si="10"/>
        <v>1.2589253959452302E-13</v>
      </c>
      <c r="E30">
        <f t="shared" si="11"/>
        <v>9.9999998741073963E-6</v>
      </c>
    </row>
    <row r="31" spans="1:5" x14ac:dyDescent="0.2">
      <c r="B31" s="1"/>
    </row>
    <row r="32" spans="1:5" x14ac:dyDescent="0.2">
      <c r="A32" t="s">
        <v>0</v>
      </c>
      <c r="B32" t="s">
        <v>38</v>
      </c>
      <c r="C32" t="s">
        <v>39</v>
      </c>
      <c r="D32" t="s">
        <v>40</v>
      </c>
    </row>
    <row r="33" spans="1:6" x14ac:dyDescent="0.2">
      <c r="A33">
        <f>A2</f>
        <v>0</v>
      </c>
      <c r="B33" s="2">
        <f>C2/B2</f>
        <v>0.99999998004736157</v>
      </c>
      <c r="C33" s="2">
        <f>D2/B2</f>
        <v>1.9952622751581296E-8</v>
      </c>
      <c r="D33" s="2">
        <f>E2/B2</f>
        <v>1.5848931608383076E-14</v>
      </c>
      <c r="E33" s="2"/>
      <c r="F33" s="2"/>
    </row>
    <row r="34" spans="1:6" x14ac:dyDescent="0.2">
      <c r="A34">
        <f t="shared" ref="A34:A61" si="12">A3</f>
        <v>0.5</v>
      </c>
      <c r="B34" s="2">
        <f t="shared" ref="B34:B61" si="13">C3/B3</f>
        <v>0.99999993690411104</v>
      </c>
      <c r="C34" s="2">
        <f t="shared" ref="C34:C61" si="14">D3/B3</f>
        <v>6.3095730466937802E-8</v>
      </c>
      <c r="D34" s="2">
        <f t="shared" ref="D34:D55" si="15">E3/B3</f>
        <v>1.5848930924608634E-13</v>
      </c>
      <c r="E34" s="2"/>
      <c r="F34" s="2"/>
    </row>
    <row r="35" spans="1:6" x14ac:dyDescent="0.2">
      <c r="A35">
        <f t="shared" si="12"/>
        <v>1</v>
      </c>
      <c r="B35" s="2">
        <f t="shared" si="13"/>
        <v>0.99999980047222337</v>
      </c>
      <c r="C35" s="2">
        <f t="shared" si="14"/>
        <v>1.9952619168586236E-7</v>
      </c>
      <c r="D35" s="2">
        <f t="shared" si="15"/>
        <v>1.5848928762308934E-12</v>
      </c>
      <c r="E35" s="2"/>
      <c r="F35" s="2"/>
    </row>
    <row r="36" spans="1:6" x14ac:dyDescent="0.2">
      <c r="A36">
        <f t="shared" si="12"/>
        <v>1.5</v>
      </c>
      <c r="B36" s="2">
        <f t="shared" si="13"/>
        <v>0.99999936902720488</v>
      </c>
      <c r="C36" s="2">
        <f t="shared" si="14"/>
        <v>6.3095694636327344E-7</v>
      </c>
      <c r="D36" s="2">
        <f t="shared" si="15"/>
        <v>1.5848921924366208E-11</v>
      </c>
      <c r="E36" s="2"/>
      <c r="F36" s="2"/>
    </row>
    <row r="37" spans="1:6" x14ac:dyDescent="0.2">
      <c r="A37">
        <f t="shared" si="12"/>
        <v>2</v>
      </c>
      <c r="B37" s="2">
        <f t="shared" si="13"/>
        <v>0.99999800458317756</v>
      </c>
      <c r="C37" s="2">
        <f t="shared" si="14"/>
        <v>1.9952583335888888E-6</v>
      </c>
      <c r="D37" s="2">
        <f t="shared" si="15"/>
        <v>1.5848900299385703E-10</v>
      </c>
      <c r="E37" s="2"/>
      <c r="F37" s="2"/>
    </row>
    <row r="38" spans="1:6" x14ac:dyDescent="0.2">
      <c r="A38">
        <f t="shared" si="12"/>
        <v>2.5</v>
      </c>
      <c r="B38" s="2">
        <f t="shared" si="13"/>
        <v>0.99999368888149254</v>
      </c>
      <c r="C38" s="2">
        <f t="shared" si="14"/>
        <v>6.3095336243361894E-6</v>
      </c>
      <c r="D38" s="2">
        <f t="shared" si="15"/>
        <v>1.5848831900123489E-9</v>
      </c>
      <c r="E38" s="2"/>
      <c r="F38" s="2"/>
    </row>
    <row r="39" spans="1:6" x14ac:dyDescent="0.2">
      <c r="A39">
        <f t="shared" si="12"/>
        <v>3</v>
      </c>
      <c r="B39" s="2">
        <f t="shared" si="13"/>
        <v>0.99998003192665019</v>
      </c>
      <c r="C39" s="2">
        <f t="shared" si="14"/>
        <v>1.9952224734246198E-5</v>
      </c>
      <c r="D39" s="2">
        <f t="shared" si="15"/>
        <v>1.5848615451975899E-8</v>
      </c>
      <c r="E39" s="2"/>
      <c r="F39" s="2"/>
    </row>
    <row r="40" spans="1:6" x14ac:dyDescent="0.2">
      <c r="A40">
        <f t="shared" si="12"/>
        <v>3.5</v>
      </c>
      <c r="B40" s="2">
        <f t="shared" si="13"/>
        <v>0.99993674977707647</v>
      </c>
      <c r="C40" s="2">
        <f t="shared" si="14"/>
        <v>6.3091743628749909E-5</v>
      </c>
      <c r="D40" s="2">
        <f t="shared" si="15"/>
        <v>1.5847929476133755E-7</v>
      </c>
      <c r="E40" s="2"/>
      <c r="F40" s="2"/>
    </row>
    <row r="41" spans="1:6" x14ac:dyDescent="0.2">
      <c r="A41">
        <f t="shared" si="12"/>
        <v>4</v>
      </c>
      <c r="B41" s="2">
        <f t="shared" si="13"/>
        <v>0.99979892931286274</v>
      </c>
      <c r="C41" s="2">
        <f t="shared" si="14"/>
        <v>1.9948611262041874E-4</v>
      </c>
      <c r="D41" s="2">
        <f t="shared" si="15"/>
        <v>1.5845745168978608E-6</v>
      </c>
      <c r="E41" s="2"/>
      <c r="F41" s="2"/>
    </row>
    <row r="42" spans="1:6" x14ac:dyDescent="0.2">
      <c r="A42">
        <f t="shared" si="12"/>
        <v>4.5</v>
      </c>
      <c r="B42" s="2">
        <f t="shared" si="13"/>
        <v>0.99935361181153237</v>
      </c>
      <c r="C42" s="2">
        <f t="shared" si="14"/>
        <v>6.3054950110529452E-4</v>
      </c>
      <c r="D42" s="2">
        <f t="shared" si="15"/>
        <v>1.5838687362215187E-5</v>
      </c>
      <c r="E42" s="2"/>
      <c r="F42" s="2"/>
    </row>
    <row r="43" spans="1:6" x14ac:dyDescent="0.2">
      <c r="A43">
        <f t="shared" si="12"/>
        <v>5</v>
      </c>
      <c r="B43" s="2">
        <f t="shared" si="13"/>
        <v>0.99785087704286624</v>
      </c>
      <c r="C43" s="2">
        <f t="shared" si="14"/>
        <v>1.9909742509222734E-3</v>
      </c>
      <c r="D43" s="2">
        <f t="shared" si="15"/>
        <v>1.5814870621165851E-4</v>
      </c>
      <c r="E43" s="2"/>
      <c r="F43" s="2"/>
    </row>
    <row r="44" spans="1:6" x14ac:dyDescent="0.2">
      <c r="A44">
        <f t="shared" si="12"/>
        <v>5.5</v>
      </c>
      <c r="B44" s="2">
        <f t="shared" si="13"/>
        <v>0.99216736781619386</v>
      </c>
      <c r="C44" s="2">
        <f t="shared" si="14"/>
        <v>6.260152876772087E-3</v>
      </c>
      <c r="D44" s="2">
        <f t="shared" si="15"/>
        <v>1.5724793070339424E-3</v>
      </c>
      <c r="E44" s="2"/>
      <c r="F44" s="2"/>
    </row>
    <row r="45" spans="1:6" x14ac:dyDescent="0.2">
      <c r="A45">
        <f t="shared" si="12"/>
        <v>6</v>
      </c>
      <c r="B45" s="2">
        <f t="shared" si="13"/>
        <v>0.9654358936816505</v>
      </c>
      <c r="C45" s="2">
        <f t="shared" si="14"/>
        <v>1.9262978561812968E-2</v>
      </c>
      <c r="D45" s="2">
        <f t="shared" si="15"/>
        <v>1.5301127756536543E-2</v>
      </c>
      <c r="E45" s="2"/>
      <c r="F45" s="2"/>
    </row>
    <row r="46" spans="1:6" x14ac:dyDescent="0.2">
      <c r="A46">
        <f t="shared" si="12"/>
        <v>6.5</v>
      </c>
      <c r="B46" s="2">
        <f t="shared" si="13"/>
        <v>0.81860857496246642</v>
      </c>
      <c r="C46" s="2">
        <f t="shared" si="14"/>
        <v>5.1650709262703341E-2</v>
      </c>
      <c r="D46" s="2">
        <f t="shared" si="15"/>
        <v>0.12974071577483018</v>
      </c>
      <c r="E46" s="2"/>
      <c r="F46" s="2"/>
    </row>
    <row r="47" spans="1:6" x14ac:dyDescent="0.2">
      <c r="A47">
        <f t="shared" si="12"/>
        <v>7</v>
      </c>
      <c r="B47" s="2">
        <f t="shared" si="13"/>
        <v>0.35914129581042786</v>
      </c>
      <c r="C47" s="2">
        <f t="shared" si="14"/>
        <v>7.1658109327963668E-2</v>
      </c>
      <c r="D47" s="2">
        <f t="shared" si="15"/>
        <v>0.56920059486160834</v>
      </c>
    </row>
    <row r="48" spans="1:6" x14ac:dyDescent="0.2">
      <c r="A48">
        <f t="shared" si="12"/>
        <v>7.5</v>
      </c>
      <c r="B48" s="2">
        <f t="shared" si="13"/>
        <v>5.7208600386745287E-2</v>
      </c>
      <c r="C48" s="2">
        <f t="shared" si="14"/>
        <v>3.6096186581449426E-2</v>
      </c>
      <c r="D48" s="2">
        <f t="shared" si="15"/>
        <v>0.90669521303180545</v>
      </c>
    </row>
    <row r="49" spans="1:4" x14ac:dyDescent="0.2">
      <c r="A49">
        <f t="shared" si="12"/>
        <v>8</v>
      </c>
      <c r="B49" s="2">
        <f t="shared" si="13"/>
        <v>6.1925416676499321E-3</v>
      </c>
      <c r="C49" s="2">
        <f t="shared" si="14"/>
        <v>1.2355745023336433E-2</v>
      </c>
      <c r="D49" s="2">
        <f t="shared" si="15"/>
        <v>0.98145171330901382</v>
      </c>
    </row>
    <row r="50" spans="1:4" x14ac:dyDescent="0.2">
      <c r="A50">
        <f t="shared" si="12"/>
        <v>8.5</v>
      </c>
      <c r="B50" s="2">
        <f t="shared" si="13"/>
        <v>6.2806071023939795E-4</v>
      </c>
      <c r="C50" s="2">
        <f t="shared" si="14"/>
        <v>3.962795179049944E-3</v>
      </c>
      <c r="D50" s="2">
        <f t="shared" si="15"/>
        <v>0.99540914411071069</v>
      </c>
    </row>
    <row r="51" spans="1:4" x14ac:dyDescent="0.2">
      <c r="A51">
        <f t="shared" si="12"/>
        <v>9</v>
      </c>
      <c r="B51" s="2">
        <f t="shared" si="13"/>
        <v>6.3012430682181568E-5</v>
      </c>
      <c r="C51" s="2">
        <f t="shared" si="14"/>
        <v>1.2572632831474551E-3</v>
      </c>
      <c r="D51" s="2">
        <f t="shared" si="15"/>
        <v>0.99867972428617036</v>
      </c>
    </row>
    <row r="52" spans="1:4" x14ac:dyDescent="0.2">
      <c r="A52">
        <f t="shared" si="12"/>
        <v>9.5</v>
      </c>
      <c r="B52" s="2">
        <f t="shared" si="13"/>
        <v>6.3070227791852712E-6</v>
      </c>
      <c r="C52" s="2">
        <f t="shared" si="14"/>
        <v>3.9794623443308285E-4</v>
      </c>
      <c r="D52" s="2">
        <f t="shared" si="15"/>
        <v>0.99959574674278762</v>
      </c>
    </row>
    <row r="53" spans="1:4" x14ac:dyDescent="0.2">
      <c r="A53">
        <f t="shared" si="12"/>
        <v>10</v>
      </c>
      <c r="B53" s="2">
        <f t="shared" si="13"/>
        <v>6.3087752364876314E-7</v>
      </c>
      <c r="C53" s="2">
        <f t="shared" si="14"/>
        <v>1.2587661482972636E-4</v>
      </c>
      <c r="D53" s="2">
        <f t="shared" si="15"/>
        <v>0.99987349250764657</v>
      </c>
    </row>
    <row r="54" spans="1:4" x14ac:dyDescent="0.2">
      <c r="A54">
        <f t="shared" si="12"/>
        <v>10.5</v>
      </c>
      <c r="B54" s="2">
        <f t="shared" si="13"/>
        <v>6.3093218680829537E-8</v>
      </c>
      <c r="C54" s="2">
        <f t="shared" si="14"/>
        <v>3.9809129713564384E-5</v>
      </c>
      <c r="D54" s="2">
        <f t="shared" si="15"/>
        <v>0.99996012777706778</v>
      </c>
    </row>
    <row r="55" spans="1:4" x14ac:dyDescent="0.2">
      <c r="A55">
        <f t="shared" si="12"/>
        <v>11</v>
      </c>
      <c r="B55" s="2">
        <f t="shared" si="13"/>
        <v>6.3094939731687531E-9</v>
      </c>
      <c r="C55" s="2">
        <f t="shared" si="14"/>
        <v>1.2589095551186867E-5</v>
      </c>
      <c r="D55" s="2">
        <f t="shared" si="15"/>
        <v>0.99998740459495472</v>
      </c>
    </row>
    <row r="56" spans="1:4" x14ac:dyDescent="0.2">
      <c r="A56">
        <f>A25</f>
        <v>11.5</v>
      </c>
      <c r="B56" s="2">
        <f>C25/B25</f>
        <v>6.3095483220565982E-10</v>
      </c>
      <c r="C56" s="2">
        <f>D25/B25</f>
        <v>3.9810558541543015E-6</v>
      </c>
      <c r="D56" s="2">
        <f>E25/B25</f>
        <v>0.99999601831319107</v>
      </c>
    </row>
    <row r="57" spans="1:4" x14ac:dyDescent="0.2">
      <c r="A57">
        <f t="shared" si="12"/>
        <v>12</v>
      </c>
      <c r="B57" s="2">
        <f t="shared" si="13"/>
        <v>6.3095655011315003E-11</v>
      </c>
      <c r="C57" s="2">
        <f t="shared" si="14"/>
        <v>1.2589238268235402E-6</v>
      </c>
      <c r="D57" s="2">
        <f t="shared" ref="D57:D61" si="16">E26/B26</f>
        <v>0.99999874101307762</v>
      </c>
    </row>
    <row r="58" spans="1:4" x14ac:dyDescent="0.2">
      <c r="A58">
        <f t="shared" si="12"/>
        <v>12.5</v>
      </c>
      <c r="B58" s="2">
        <f t="shared" si="13"/>
        <v>6.3095709328767117E-12</v>
      </c>
      <c r="C58" s="2">
        <f t="shared" si="14"/>
        <v>3.9810701206173067E-7</v>
      </c>
      <c r="D58" s="2">
        <f t="shared" si="16"/>
        <v>0.99999960188667858</v>
      </c>
    </row>
    <row r="59" spans="1:4" x14ac:dyDescent="0.2">
      <c r="A59">
        <f t="shared" si="12"/>
        <v>13</v>
      </c>
      <c r="B59" s="2">
        <f t="shared" si="13"/>
        <v>6.3095726504698362E-13</v>
      </c>
      <c r="C59" s="2">
        <f t="shared" si="14"/>
        <v>1.2589252533040759E-7</v>
      </c>
      <c r="D59" s="2">
        <f t="shared" si="16"/>
        <v>0.99999987410684377</v>
      </c>
    </row>
    <row r="60" spans="1:4" x14ac:dyDescent="0.2">
      <c r="A60">
        <f t="shared" si="12"/>
        <v>13.5</v>
      </c>
      <c r="B60" s="2">
        <f t="shared" si="13"/>
        <v>6.3095731936129216E-14</v>
      </c>
      <c r="C60" s="2">
        <f t="shared" si="14"/>
        <v>3.9810715470454265E-8</v>
      </c>
      <c r="D60" s="2">
        <f t="shared" si="16"/>
        <v>0.99999996018922144</v>
      </c>
    </row>
    <row r="61" spans="1:4" x14ac:dyDescent="0.2">
      <c r="A61">
        <f t="shared" si="12"/>
        <v>14</v>
      </c>
      <c r="B61" s="2">
        <f t="shared" si="13"/>
        <v>6.3095733653690905E-15</v>
      </c>
      <c r="C61" s="2">
        <f t="shared" si="14"/>
        <v>1.2589253959452302E-8</v>
      </c>
      <c r="D61" s="2">
        <f t="shared" si="16"/>
        <v>0.99999998741073959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33880-AD55-4448-A38B-D69564C27B82}">
  <dimension ref="A1:J32"/>
  <sheetViews>
    <sheetView workbookViewId="0">
      <selection activeCell="B54" sqref="B54"/>
    </sheetView>
  </sheetViews>
  <sheetFormatPr baseColWidth="10" defaultRowHeight="16" x14ac:dyDescent="0.2"/>
  <cols>
    <col min="2" max="2" width="12.83203125" bestFit="1" customWidth="1"/>
    <col min="3" max="4" width="12.1640625" bestFit="1" customWidth="1"/>
    <col min="5" max="7" width="15.6640625" bestFit="1" customWidth="1"/>
    <col min="13" max="13" width="12.1640625" bestFit="1" customWidth="1"/>
  </cols>
  <sheetData>
    <row r="1" spans="1:10" x14ac:dyDescent="0.2">
      <c r="A1" t="s">
        <v>0</v>
      </c>
      <c r="B1" t="s">
        <v>1</v>
      </c>
      <c r="C1" t="s">
        <v>12</v>
      </c>
      <c r="D1" t="s">
        <v>2</v>
      </c>
      <c r="E1" t="s">
        <v>3</v>
      </c>
      <c r="F1" t="s">
        <v>13</v>
      </c>
      <c r="G1" t="s">
        <v>14</v>
      </c>
      <c r="I1" t="s">
        <v>15</v>
      </c>
    </row>
    <row r="2" spans="1:10" x14ac:dyDescent="0.2">
      <c r="A2">
        <v>0</v>
      </c>
      <c r="B2" s="1">
        <f t="shared" ref="B2:B15" si="0">$J$9/(1+10^$J$2/10^(-$A2)+10^$J$3/10^(-$A2*2)+10^$J$5/10^(-$A2*3)+10^$J$6/10^(-$A2*4))</f>
        <v>9.991090537760557E-10</v>
      </c>
      <c r="C2">
        <f>10^$J$2*$B2/(10^-A2)</f>
        <v>8.9045688147582833E-13</v>
      </c>
      <c r="D2">
        <f t="shared" ref="D2:D15" si="1">10^$J$3*B2/(10^(-A2*2))</f>
        <v>4.8934245277876198E-16</v>
      </c>
      <c r="E2">
        <f t="shared" ref="E2:E15" si="2">10^$J$5*B2/10^(-A2*3)</f>
        <v>1.5834811378559303E-23</v>
      </c>
      <c r="F2">
        <f t="shared" ref="F2:F15" si="3">10^$J$6*B2/(10^(-A2*4))</f>
        <v>1.9934846435435727E-32</v>
      </c>
      <c r="G2" s="1">
        <f t="shared" ref="G2:G15" si="4">SUM(B2:F2)</f>
        <v>1.0000000000000003E-9</v>
      </c>
      <c r="I2" t="s">
        <v>4</v>
      </c>
      <c r="J2">
        <v>-3.05</v>
      </c>
    </row>
    <row r="3" spans="1:10" x14ac:dyDescent="0.2">
      <c r="A3">
        <f t="shared" ref="A3:A15" si="5">A2+1</f>
        <v>1</v>
      </c>
      <c r="B3" s="1">
        <f t="shared" si="0"/>
        <v>9.9111810768586467E-10</v>
      </c>
      <c r="C3">
        <f>10^$J$2*$B3/(10^-A3)</f>
        <v>8.8333494327636933E-12</v>
      </c>
      <c r="D3">
        <f t="shared" si="1"/>
        <v>4.8542865663707128E-14</v>
      </c>
      <c r="E3">
        <f t="shared" si="2"/>
        <v>1.570816341796263E-20</v>
      </c>
      <c r="F3">
        <f t="shared" si="3"/>
        <v>1.9775406099488667E-28</v>
      </c>
      <c r="G3" s="1">
        <f t="shared" si="4"/>
        <v>1.0000000000000003E-9</v>
      </c>
      <c r="I3" t="s">
        <v>5</v>
      </c>
      <c r="J3">
        <v>-6.31</v>
      </c>
    </row>
    <row r="4" spans="1:10" x14ac:dyDescent="0.2">
      <c r="A4">
        <f t="shared" si="5"/>
        <v>2</v>
      </c>
      <c r="B4" s="1">
        <f t="shared" si="0"/>
        <v>9.1405765085881305E-10</v>
      </c>
      <c r="C4">
        <f t="shared" ref="C4:C15" si="6">10^$J$2*$B4/10^-A4</f>
        <v>8.1465473883624466E-11</v>
      </c>
      <c r="D4">
        <f t="shared" si="1"/>
        <v>4.4768607707232484E-12</v>
      </c>
      <c r="E4">
        <f t="shared" si="2"/>
        <v>1.4486837483631255E-17</v>
      </c>
      <c r="F4">
        <f t="shared" si="3"/>
        <v>1.823784784467565E-24</v>
      </c>
      <c r="G4" s="1">
        <f t="shared" si="4"/>
        <v>1.0000000000000003E-9</v>
      </c>
      <c r="I4" t="s">
        <v>10</v>
      </c>
      <c r="J4">
        <v>-2.91</v>
      </c>
    </row>
    <row r="5" spans="1:10" x14ac:dyDescent="0.2">
      <c r="A5">
        <f t="shared" si="5"/>
        <v>3</v>
      </c>
      <c r="B5" s="1">
        <f t="shared" si="0"/>
        <v>4.199835556653755E-10</v>
      </c>
      <c r="C5">
        <f t="shared" si="6"/>
        <v>3.7431073798751197E-10</v>
      </c>
      <c r="D5">
        <f t="shared" si="1"/>
        <v>2.0569905004794973E-10</v>
      </c>
      <c r="E5">
        <f t="shared" si="2"/>
        <v>6.6562907831966456E-15</v>
      </c>
      <c r="F5">
        <f t="shared" si="3"/>
        <v>8.3797736152575546E-21</v>
      </c>
      <c r="G5" s="1">
        <f t="shared" si="4"/>
        <v>1.0000000000000003E-9</v>
      </c>
      <c r="I5" t="s">
        <v>6</v>
      </c>
      <c r="J5">
        <v>-13.8</v>
      </c>
    </row>
    <row r="6" spans="1:10" x14ac:dyDescent="0.2">
      <c r="A6">
        <f t="shared" si="5"/>
        <v>4</v>
      </c>
      <c r="B6" s="1">
        <f t="shared" si="0"/>
        <v>1.697613007326513E-11</v>
      </c>
      <c r="C6">
        <f t="shared" si="6"/>
        <v>1.5129991853678033E-10</v>
      </c>
      <c r="D6">
        <f t="shared" si="1"/>
        <v>8.3145489447289699E-10</v>
      </c>
      <c r="E6">
        <f t="shared" si="2"/>
        <v>2.6905352987452205E-13</v>
      </c>
      <c r="F6">
        <f t="shared" si="3"/>
        <v>3.3871832589195683E-18</v>
      </c>
      <c r="G6" s="1">
        <f t="shared" si="4"/>
        <v>1.0000000000000003E-9</v>
      </c>
      <c r="I6" t="s">
        <v>9</v>
      </c>
      <c r="J6">
        <v>-22.7</v>
      </c>
    </row>
    <row r="7" spans="1:10" x14ac:dyDescent="0.2">
      <c r="A7">
        <f t="shared" si="5"/>
        <v>5</v>
      </c>
      <c r="B7" s="1">
        <f t="shared" si="0"/>
        <v>1.9984954468183314E-13</v>
      </c>
      <c r="C7">
        <f t="shared" si="6"/>
        <v>1.7811609418328564E-11</v>
      </c>
      <c r="D7">
        <f t="shared" si="1"/>
        <v>9.7882074045589762E-10</v>
      </c>
      <c r="E7">
        <f t="shared" si="2"/>
        <v>3.167401828826894E-12</v>
      </c>
      <c r="F7">
        <f t="shared" si="3"/>
        <v>3.9875226516734955E-16</v>
      </c>
      <c r="G7" s="1">
        <f t="shared" si="4"/>
        <v>1.0000000000000001E-9</v>
      </c>
      <c r="I7" t="s">
        <v>7</v>
      </c>
      <c r="J7">
        <v>-5.77</v>
      </c>
    </row>
    <row r="8" spans="1:10" x14ac:dyDescent="0.2">
      <c r="A8">
        <f t="shared" si="5"/>
        <v>6</v>
      </c>
      <c r="B8" s="1">
        <f t="shared" si="0"/>
        <v>1.9741779309147635E-15</v>
      </c>
      <c r="C8">
        <f t="shared" si="6"/>
        <v>1.7594879329707195E-12</v>
      </c>
      <c r="D8">
        <f t="shared" si="1"/>
        <v>9.6691053622667486E-10</v>
      </c>
      <c r="E8">
        <f t="shared" si="2"/>
        <v>3.1288611634137649E-11</v>
      </c>
      <c r="F8">
        <f t="shared" si="3"/>
        <v>3.9390028285974496E-14</v>
      </c>
      <c r="G8" s="1">
        <f t="shared" si="4"/>
        <v>1.0000000000000001E-9</v>
      </c>
      <c r="I8" t="s">
        <v>8</v>
      </c>
      <c r="J8">
        <v>3.96</v>
      </c>
    </row>
    <row r="9" spans="1:10" x14ac:dyDescent="0.2">
      <c r="A9">
        <f t="shared" si="5"/>
        <v>7</v>
      </c>
      <c r="B9" s="1">
        <f t="shared" si="0"/>
        <v>1.537627585977635E-17</v>
      </c>
      <c r="C9">
        <f t="shared" si="6"/>
        <v>1.3704120285028935E-13</v>
      </c>
      <c r="D9">
        <f t="shared" si="1"/>
        <v>7.5309742368848014E-10</v>
      </c>
      <c r="E9">
        <f t="shared" si="2"/>
        <v>2.4369754935563617E-10</v>
      </c>
      <c r="F9">
        <f t="shared" si="3"/>
        <v>3.0679703767577347E-12</v>
      </c>
      <c r="G9" s="1">
        <f t="shared" si="4"/>
        <v>1.0000000000000001E-9</v>
      </c>
      <c r="I9" t="s">
        <v>11</v>
      </c>
      <c r="J9">
        <f>10^-9</f>
        <v>1.0000000000000001E-9</v>
      </c>
    </row>
    <row r="10" spans="1:10" x14ac:dyDescent="0.2">
      <c r="A10">
        <f t="shared" si="5"/>
        <v>8</v>
      </c>
      <c r="B10" s="1">
        <f t="shared" si="0"/>
        <v>4.3971368104701345E-20</v>
      </c>
      <c r="C10">
        <f t="shared" si="6"/>
        <v>3.9189523074339324E-15</v>
      </c>
      <c r="D10">
        <f t="shared" si="1"/>
        <v>2.1536244756335975E-10</v>
      </c>
      <c r="E10">
        <f t="shared" si="2"/>
        <v>6.9689921972342666E-10</v>
      </c>
      <c r="F10">
        <f t="shared" si="3"/>
        <v>8.7734413716934858E-11</v>
      </c>
      <c r="G10" s="1">
        <f t="shared" si="4"/>
        <v>1.0000000000000001E-9</v>
      </c>
    </row>
    <row r="11" spans="1:10" x14ac:dyDescent="0.2">
      <c r="A11">
        <f t="shared" si="5"/>
        <v>9</v>
      </c>
      <c r="B11" s="1">
        <f t="shared" si="0"/>
        <v>2.7554787001538472E-23</v>
      </c>
      <c r="C11">
        <f t="shared" si="6"/>
        <v>2.4558229765196695E-17</v>
      </c>
      <c r="D11">
        <f t="shared" si="1"/>
        <v>1.3495751045562518E-11</v>
      </c>
      <c r="E11">
        <f t="shared" si="2"/>
        <v>4.3671394338454158E-10</v>
      </c>
      <c r="F11">
        <f t="shared" si="3"/>
        <v>5.4979028101163861E-10</v>
      </c>
      <c r="G11" s="1">
        <f t="shared" si="4"/>
        <v>1.0000000000000001E-9</v>
      </c>
    </row>
    <row r="12" spans="1:10" x14ac:dyDescent="0.2">
      <c r="A12">
        <f t="shared" si="5"/>
        <v>10</v>
      </c>
      <c r="B12" s="1">
        <f t="shared" si="0"/>
        <v>4.6420052734483477E-27</v>
      </c>
      <c r="C12">
        <f t="shared" si="6"/>
        <v>4.137191554782633E-20</v>
      </c>
      <c r="D12">
        <f t="shared" si="1"/>
        <v>2.273555862331633E-13</v>
      </c>
      <c r="E12">
        <f t="shared" si="2"/>
        <v>7.3570825572568529E-11</v>
      </c>
      <c r="F12">
        <f t="shared" si="3"/>
        <v>9.262018187998266E-10</v>
      </c>
      <c r="G12" s="1">
        <f t="shared" si="4"/>
        <v>1.0000000000000003E-9</v>
      </c>
    </row>
    <row r="13" spans="1:10" x14ac:dyDescent="0.2">
      <c r="A13">
        <f t="shared" si="5"/>
        <v>11</v>
      </c>
      <c r="B13" s="1">
        <f t="shared" si="0"/>
        <v>4.9723632453770451E-31</v>
      </c>
      <c r="C13">
        <f t="shared" si="6"/>
        <v>4.4316234071840471E-23</v>
      </c>
      <c r="D13">
        <f t="shared" si="1"/>
        <v>2.4353581997918245E-15</v>
      </c>
      <c r="E13">
        <f t="shared" si="2"/>
        <v>7.8806646580419019E-12</v>
      </c>
      <c r="F13">
        <f t="shared" si="3"/>
        <v>9.9211689998371398E-10</v>
      </c>
      <c r="G13" s="1">
        <f t="shared" si="4"/>
        <v>1.0000000000000001E-9</v>
      </c>
    </row>
    <row r="14" spans="1:10" x14ac:dyDescent="0.2">
      <c r="A14">
        <f t="shared" si="5"/>
        <v>12</v>
      </c>
      <c r="B14" s="1">
        <f t="shared" si="0"/>
        <v>5.0078943015033132E-35</v>
      </c>
      <c r="C14">
        <f t="shared" si="6"/>
        <v>4.4632904942894656E-26</v>
      </c>
      <c r="D14">
        <f t="shared" si="1"/>
        <v>2.452760558512262E-17</v>
      </c>
      <c r="E14">
        <f t="shared" si="2"/>
        <v>7.9369775870173785E-13</v>
      </c>
      <c r="F14">
        <f t="shared" si="3"/>
        <v>9.9920627771369272E-10</v>
      </c>
      <c r="G14" s="1">
        <f t="shared" si="4"/>
        <v>1.0000000000000001E-9</v>
      </c>
    </row>
    <row r="15" spans="1:10" x14ac:dyDescent="0.2">
      <c r="A15">
        <f t="shared" si="5"/>
        <v>13</v>
      </c>
      <c r="B15" s="1">
        <f t="shared" si="0"/>
        <v>5.0114742594923782E-39</v>
      </c>
      <c r="C15">
        <f t="shared" si="6"/>
        <v>4.4664811352056985E-29</v>
      </c>
      <c r="D15">
        <f t="shared" si="1"/>
        <v>2.4545139461095351E-19</v>
      </c>
      <c r="E15">
        <f t="shared" si="2"/>
        <v>7.9426514380635439E-14</v>
      </c>
      <c r="F15">
        <f t="shared" si="3"/>
        <v>9.9992057324016784E-10</v>
      </c>
      <c r="G15" s="1">
        <f t="shared" si="4"/>
        <v>9.9999999999999986E-10</v>
      </c>
    </row>
    <row r="18" spans="1:6" x14ac:dyDescent="0.2">
      <c r="A18" t="s">
        <v>0</v>
      </c>
      <c r="B18" t="s">
        <v>16</v>
      </c>
      <c r="C18" t="s">
        <v>17</v>
      </c>
      <c r="D18" t="s">
        <v>18</v>
      </c>
      <c r="E18" t="s">
        <v>19</v>
      </c>
      <c r="F18" t="s">
        <v>20</v>
      </c>
    </row>
    <row r="19" spans="1:6" x14ac:dyDescent="0.2">
      <c r="A19">
        <v>0</v>
      </c>
      <c r="B19" s="2">
        <f t="shared" ref="B19:F32" si="7">B2/$J$9</f>
        <v>0.99910905377605563</v>
      </c>
      <c r="C19" s="2">
        <f t="shared" si="7"/>
        <v>8.9045688147582828E-4</v>
      </c>
      <c r="D19" s="2">
        <f t="shared" si="7"/>
        <v>4.8934245277876195E-7</v>
      </c>
      <c r="E19" s="2">
        <f t="shared" si="7"/>
        <v>1.5834811378559302E-14</v>
      </c>
      <c r="F19" s="2">
        <f t="shared" si="7"/>
        <v>1.9934846435435726E-23</v>
      </c>
    </row>
    <row r="20" spans="1:6" x14ac:dyDescent="0.2">
      <c r="A20">
        <f t="shared" ref="A20:A32" si="8">A19+1</f>
        <v>1</v>
      </c>
      <c r="B20" s="2">
        <f t="shared" si="7"/>
        <v>0.99111810768586461</v>
      </c>
      <c r="C20" s="2">
        <f t="shared" si="7"/>
        <v>8.833349432763692E-3</v>
      </c>
      <c r="D20" s="2">
        <f t="shared" si="7"/>
        <v>4.8542865663707123E-5</v>
      </c>
      <c r="E20" s="2">
        <f t="shared" si="7"/>
        <v>1.5708163417962627E-11</v>
      </c>
      <c r="F20" s="2">
        <f t="shared" si="7"/>
        <v>1.9775406099488667E-19</v>
      </c>
    </row>
    <row r="21" spans="1:6" x14ac:dyDescent="0.2">
      <c r="A21">
        <f t="shared" si="8"/>
        <v>2</v>
      </c>
      <c r="B21" s="2">
        <f t="shared" si="7"/>
        <v>0.91405765085881296</v>
      </c>
      <c r="C21" s="2">
        <f t="shared" si="7"/>
        <v>8.1465473883624462E-2</v>
      </c>
      <c r="D21" s="2">
        <f t="shared" si="7"/>
        <v>4.4768607707232483E-3</v>
      </c>
      <c r="E21" s="2">
        <f t="shared" si="7"/>
        <v>1.4486837483631254E-8</v>
      </c>
      <c r="F21" s="2">
        <f t="shared" si="7"/>
        <v>1.8237847844675648E-15</v>
      </c>
    </row>
    <row r="22" spans="1:6" x14ac:dyDescent="0.2">
      <c r="A22">
        <f t="shared" si="8"/>
        <v>3</v>
      </c>
      <c r="B22" s="2">
        <f t="shared" si="7"/>
        <v>0.41998355566537549</v>
      </c>
      <c r="C22" s="2">
        <f t="shared" si="7"/>
        <v>0.37431073798751197</v>
      </c>
      <c r="D22" s="2">
        <f t="shared" si="7"/>
        <v>0.20569905004794972</v>
      </c>
      <c r="E22" s="2">
        <f t="shared" si="7"/>
        <v>6.6562907831966449E-6</v>
      </c>
      <c r="F22" s="2">
        <f t="shared" si="7"/>
        <v>8.3797736152575544E-12</v>
      </c>
    </row>
    <row r="23" spans="1:6" x14ac:dyDescent="0.2">
      <c r="A23">
        <f t="shared" si="8"/>
        <v>4</v>
      </c>
      <c r="B23" s="2">
        <f t="shared" si="7"/>
        <v>1.6976130073265129E-2</v>
      </c>
      <c r="C23" s="2">
        <f t="shared" si="7"/>
        <v>0.15129991853678032</v>
      </c>
      <c r="D23" s="2">
        <f t="shared" si="7"/>
        <v>0.83145489447289689</v>
      </c>
      <c r="E23" s="2">
        <f t="shared" si="7"/>
        <v>2.6905352987452203E-4</v>
      </c>
      <c r="F23" s="2">
        <f t="shared" si="7"/>
        <v>3.387183258919568E-9</v>
      </c>
    </row>
    <row r="24" spans="1:6" x14ac:dyDescent="0.2">
      <c r="A24">
        <f t="shared" si="8"/>
        <v>5</v>
      </c>
      <c r="B24" s="2">
        <f t="shared" si="7"/>
        <v>1.9984954468183313E-4</v>
      </c>
      <c r="C24" s="2">
        <f t="shared" si="7"/>
        <v>1.7811609418328562E-2</v>
      </c>
      <c r="D24" s="2">
        <f t="shared" si="7"/>
        <v>0.97882074045589751</v>
      </c>
      <c r="E24" s="2">
        <f t="shared" si="7"/>
        <v>3.1674018288268936E-3</v>
      </c>
      <c r="F24" s="2">
        <f t="shared" si="7"/>
        <v>3.9875226516734952E-7</v>
      </c>
    </row>
    <row r="25" spans="1:6" x14ac:dyDescent="0.2">
      <c r="A25">
        <f t="shared" si="8"/>
        <v>6</v>
      </c>
      <c r="B25" s="2">
        <f t="shared" si="7"/>
        <v>1.9741779309147633E-6</v>
      </c>
      <c r="C25" s="2">
        <f t="shared" si="7"/>
        <v>1.7594879329707195E-3</v>
      </c>
      <c r="D25" s="2">
        <f t="shared" si="7"/>
        <v>0.96691053622667478</v>
      </c>
      <c r="E25" s="2">
        <f t="shared" si="7"/>
        <v>3.1288611634137646E-2</v>
      </c>
      <c r="F25" s="2">
        <f t="shared" si="7"/>
        <v>3.9390028285974495E-5</v>
      </c>
    </row>
    <row r="26" spans="1:6" x14ac:dyDescent="0.2">
      <c r="A26">
        <f t="shared" si="8"/>
        <v>7</v>
      </c>
      <c r="B26" s="2">
        <f t="shared" si="7"/>
        <v>1.5376275859776349E-8</v>
      </c>
      <c r="C26" s="2">
        <f t="shared" si="7"/>
        <v>1.3704120285028935E-4</v>
      </c>
      <c r="D26" s="2">
        <f t="shared" si="7"/>
        <v>0.75309742368848009</v>
      </c>
      <c r="E26" s="2">
        <f t="shared" si="7"/>
        <v>0.24369754935563614</v>
      </c>
      <c r="F26" s="2">
        <f t="shared" si="7"/>
        <v>3.0679703767577345E-3</v>
      </c>
    </row>
    <row r="27" spans="1:6" x14ac:dyDescent="0.2">
      <c r="A27">
        <f t="shared" si="8"/>
        <v>8</v>
      </c>
      <c r="B27" s="2">
        <f t="shared" si="7"/>
        <v>4.3971368104701342E-11</v>
      </c>
      <c r="C27" s="2">
        <f t="shared" si="7"/>
        <v>3.9189523074339324E-6</v>
      </c>
      <c r="D27" s="2">
        <f t="shared" si="7"/>
        <v>0.21536244756335973</v>
      </c>
      <c r="E27" s="2">
        <f t="shared" si="7"/>
        <v>0.69689921972342661</v>
      </c>
      <c r="F27" s="2">
        <f t="shared" si="7"/>
        <v>8.7734413716934856E-2</v>
      </c>
    </row>
    <row r="28" spans="1:6" x14ac:dyDescent="0.2">
      <c r="A28">
        <f t="shared" si="8"/>
        <v>9</v>
      </c>
      <c r="B28" s="2">
        <f t="shared" si="7"/>
        <v>2.7554787001538471E-14</v>
      </c>
      <c r="C28" s="2">
        <f t="shared" si="7"/>
        <v>2.4558229765196694E-8</v>
      </c>
      <c r="D28" s="2">
        <f t="shared" si="7"/>
        <v>1.3495751045562518E-2</v>
      </c>
      <c r="E28" s="2">
        <f t="shared" si="7"/>
        <v>0.43671394338454156</v>
      </c>
      <c r="F28" s="2">
        <f t="shared" si="7"/>
        <v>0.54979028101163863</v>
      </c>
    </row>
    <row r="29" spans="1:6" x14ac:dyDescent="0.2">
      <c r="A29">
        <f t="shared" si="8"/>
        <v>10</v>
      </c>
      <c r="B29" s="2">
        <f t="shared" si="7"/>
        <v>4.6420052734483471E-18</v>
      </c>
      <c r="C29" s="2">
        <f t="shared" si="7"/>
        <v>4.1371915547826328E-11</v>
      </c>
      <c r="D29" s="2">
        <f t="shared" si="7"/>
        <v>2.273555862331633E-4</v>
      </c>
      <c r="E29" s="2">
        <f t="shared" si="7"/>
        <v>7.3570825572568527E-2</v>
      </c>
      <c r="F29" s="2">
        <f t="shared" si="7"/>
        <v>0.92620181879982655</v>
      </c>
    </row>
    <row r="30" spans="1:6" x14ac:dyDescent="0.2">
      <c r="A30">
        <f t="shared" si="8"/>
        <v>11</v>
      </c>
      <c r="B30" s="2">
        <f t="shared" si="7"/>
        <v>4.9723632453770445E-22</v>
      </c>
      <c r="C30" s="2">
        <f t="shared" si="7"/>
        <v>4.4316234071840468E-14</v>
      </c>
      <c r="D30" s="2">
        <f t="shared" si="7"/>
        <v>2.4353581997918243E-6</v>
      </c>
      <c r="E30" s="2">
        <f t="shared" si="7"/>
        <v>7.8806646580419012E-3</v>
      </c>
      <c r="F30" s="2">
        <f t="shared" si="7"/>
        <v>0.99211689998371388</v>
      </c>
    </row>
    <row r="31" spans="1:6" x14ac:dyDescent="0.2">
      <c r="A31">
        <f t="shared" si="8"/>
        <v>12</v>
      </c>
      <c r="B31" s="2">
        <f t="shared" si="7"/>
        <v>5.0078943015033129E-26</v>
      </c>
      <c r="C31" s="2">
        <f t="shared" si="7"/>
        <v>4.4632904942894653E-17</v>
      </c>
      <c r="D31" s="2">
        <f t="shared" si="7"/>
        <v>2.4527605585122617E-8</v>
      </c>
      <c r="E31" s="2">
        <f t="shared" si="7"/>
        <v>7.9369775870173783E-4</v>
      </c>
      <c r="F31" s="2">
        <f t="shared" si="7"/>
        <v>0.99920627771369264</v>
      </c>
    </row>
    <row r="32" spans="1:6" x14ac:dyDescent="0.2">
      <c r="A32">
        <f t="shared" si="8"/>
        <v>13</v>
      </c>
      <c r="B32" s="2">
        <f t="shared" si="7"/>
        <v>5.0114742594923777E-30</v>
      </c>
      <c r="C32" s="2">
        <f t="shared" si="7"/>
        <v>4.4664811352056984E-20</v>
      </c>
      <c r="D32" s="2">
        <f t="shared" si="7"/>
        <v>2.4545139461095351E-10</v>
      </c>
      <c r="E32" s="2">
        <f t="shared" si="7"/>
        <v>7.9426514380635438E-5</v>
      </c>
      <c r="F32" s="2">
        <f t="shared" si="7"/>
        <v>0.99992057324016781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0506-0473-454C-B016-C1C1BC8B5A54}">
  <dimension ref="A1:J11"/>
  <sheetViews>
    <sheetView workbookViewId="0">
      <selection activeCell="M39" sqref="M39"/>
    </sheetView>
  </sheetViews>
  <sheetFormatPr baseColWidth="10" defaultRowHeight="16" x14ac:dyDescent="0.2"/>
  <sheetData>
    <row r="1" spans="1:10" x14ac:dyDescent="0.2">
      <c r="A1" t="s">
        <v>24</v>
      </c>
      <c r="B1" t="s">
        <v>25</v>
      </c>
      <c r="C1" t="s">
        <v>26</v>
      </c>
      <c r="D1" t="s">
        <v>27</v>
      </c>
      <c r="E1" t="s">
        <v>30</v>
      </c>
      <c r="F1" t="s">
        <v>31</v>
      </c>
      <c r="G1" t="s">
        <v>32</v>
      </c>
      <c r="H1" t="s">
        <v>33</v>
      </c>
    </row>
    <row r="2" spans="1:10" x14ac:dyDescent="0.2">
      <c r="A2" s="1">
        <f>10^-6</f>
        <v>9.9999999999999995E-7</v>
      </c>
      <c r="B2" s="1">
        <f t="shared" ref="B2:B11" si="0">A2*$J$2</f>
        <v>1E-3</v>
      </c>
      <c r="C2" s="1">
        <f t="shared" ref="C2:C11" si="1">A2^2*$J$4</f>
        <v>9.9999999999999995E-7</v>
      </c>
      <c r="D2" s="1">
        <f t="shared" ref="D2:D11" si="2">1+B2+C2</f>
        <v>1.0010009999999998</v>
      </c>
      <c r="E2" s="3">
        <f t="shared" ref="E2:E11" si="3">1-F2-G2</f>
        <v>0.9990000009990001</v>
      </c>
      <c r="F2" s="3">
        <f t="shared" ref="F2:F11" si="4">B2/D2</f>
        <v>9.9900000099900025E-4</v>
      </c>
      <c r="G2" s="3">
        <f t="shared" ref="G2:G11" si="5">C2/D2</f>
        <v>9.9900000099900007E-7</v>
      </c>
      <c r="H2">
        <f t="shared" ref="H2:H11" si="6">LOG(A2)</f>
        <v>-6</v>
      </c>
      <c r="I2" t="s">
        <v>28</v>
      </c>
      <c r="J2">
        <f>10^3</f>
        <v>1000</v>
      </c>
    </row>
    <row r="3" spans="1:10" x14ac:dyDescent="0.2">
      <c r="A3" s="1">
        <f t="shared" ref="A3:A11" si="7">A2*10</f>
        <v>9.9999999999999991E-6</v>
      </c>
      <c r="B3" s="1">
        <f t="shared" si="0"/>
        <v>9.9999999999999985E-3</v>
      </c>
      <c r="C3" s="1">
        <f t="shared" si="1"/>
        <v>9.9999999999999978E-5</v>
      </c>
      <c r="D3" s="1">
        <f t="shared" si="2"/>
        <v>1.0101</v>
      </c>
      <c r="E3" s="3">
        <f t="shared" si="3"/>
        <v>0.99000099000098996</v>
      </c>
      <c r="F3" s="3">
        <f t="shared" si="4"/>
        <v>9.9000099000098978E-3</v>
      </c>
      <c r="G3" s="3">
        <f t="shared" si="5"/>
        <v>9.9000099000098979E-5</v>
      </c>
      <c r="H3">
        <f t="shared" si="6"/>
        <v>-5</v>
      </c>
      <c r="I3" t="s">
        <v>29</v>
      </c>
      <c r="J3">
        <f>10^3</f>
        <v>1000</v>
      </c>
    </row>
    <row r="4" spans="1:10" x14ac:dyDescent="0.2">
      <c r="A4" s="1">
        <f t="shared" si="7"/>
        <v>9.9999999999999991E-5</v>
      </c>
      <c r="B4" s="1">
        <f t="shared" si="0"/>
        <v>9.9999999999999992E-2</v>
      </c>
      <c r="C4" s="1">
        <f t="shared" si="1"/>
        <v>9.9999999999999985E-3</v>
      </c>
      <c r="D4" s="1">
        <f t="shared" si="2"/>
        <v>1.1100000000000001</v>
      </c>
      <c r="E4" s="3">
        <f t="shared" si="3"/>
        <v>0.90090090090090091</v>
      </c>
      <c r="F4" s="3">
        <f t="shared" si="4"/>
        <v>9.0090090090090072E-2</v>
      </c>
      <c r="G4" s="3">
        <f t="shared" si="5"/>
        <v>9.0090090090090072E-3</v>
      </c>
      <c r="H4">
        <f t="shared" si="6"/>
        <v>-4</v>
      </c>
      <c r="I4" t="s">
        <v>22</v>
      </c>
      <c r="J4">
        <f>10^6</f>
        <v>1000000</v>
      </c>
    </row>
    <row r="5" spans="1:10" x14ac:dyDescent="0.2">
      <c r="A5" s="1">
        <f t="shared" si="7"/>
        <v>1E-3</v>
      </c>
      <c r="B5" s="1">
        <f t="shared" si="0"/>
        <v>1</v>
      </c>
      <c r="C5" s="1">
        <f t="shared" si="1"/>
        <v>1</v>
      </c>
      <c r="D5" s="1">
        <f t="shared" si="2"/>
        <v>3</v>
      </c>
      <c r="E5" s="3">
        <f t="shared" si="3"/>
        <v>0.33333333333333343</v>
      </c>
      <c r="F5" s="3">
        <f t="shared" si="4"/>
        <v>0.33333333333333331</v>
      </c>
      <c r="G5" s="3">
        <f t="shared" si="5"/>
        <v>0.33333333333333331</v>
      </c>
      <c r="H5">
        <f t="shared" si="6"/>
        <v>-3</v>
      </c>
    </row>
    <row r="6" spans="1:10" x14ac:dyDescent="0.2">
      <c r="A6" s="1">
        <f t="shared" si="7"/>
        <v>0.01</v>
      </c>
      <c r="B6" s="1">
        <f t="shared" si="0"/>
        <v>10</v>
      </c>
      <c r="C6" s="1">
        <f t="shared" si="1"/>
        <v>100</v>
      </c>
      <c r="D6" s="1">
        <f t="shared" si="2"/>
        <v>111</v>
      </c>
      <c r="E6" s="3">
        <f t="shared" si="3"/>
        <v>9.009009009009028E-3</v>
      </c>
      <c r="F6" s="3">
        <f t="shared" si="4"/>
        <v>9.0090090090090086E-2</v>
      </c>
      <c r="G6" s="3">
        <f t="shared" si="5"/>
        <v>0.90090090090090091</v>
      </c>
      <c r="H6">
        <f t="shared" si="6"/>
        <v>-2</v>
      </c>
    </row>
    <row r="7" spans="1:10" x14ac:dyDescent="0.2">
      <c r="A7" s="1">
        <f t="shared" si="7"/>
        <v>0.1</v>
      </c>
      <c r="B7" s="1">
        <f t="shared" si="0"/>
        <v>100</v>
      </c>
      <c r="C7" s="1">
        <f t="shared" si="1"/>
        <v>10000.000000000002</v>
      </c>
      <c r="D7" s="1">
        <f t="shared" si="2"/>
        <v>10101.000000000002</v>
      </c>
      <c r="E7" s="3">
        <f t="shared" si="3"/>
        <v>9.9000099000101649E-5</v>
      </c>
      <c r="F7" s="3">
        <f t="shared" si="4"/>
        <v>9.9000099000098978E-3</v>
      </c>
      <c r="G7" s="3">
        <f t="shared" si="5"/>
        <v>0.99000099000098996</v>
      </c>
      <c r="H7">
        <f t="shared" si="6"/>
        <v>-1</v>
      </c>
    </row>
    <row r="8" spans="1:10" x14ac:dyDescent="0.2">
      <c r="A8" s="1">
        <f t="shared" si="7"/>
        <v>1</v>
      </c>
      <c r="B8" s="1">
        <f t="shared" si="0"/>
        <v>1000</v>
      </c>
      <c r="C8" s="1">
        <f t="shared" si="1"/>
        <v>1000000</v>
      </c>
      <c r="D8" s="1">
        <f t="shared" si="2"/>
        <v>1001001</v>
      </c>
      <c r="E8" s="3">
        <f t="shared" si="3"/>
        <v>9.9900000105623832E-7</v>
      </c>
      <c r="F8" s="3">
        <f t="shared" si="4"/>
        <v>9.9900000099900003E-4</v>
      </c>
      <c r="G8" s="3">
        <f t="shared" si="5"/>
        <v>0.99900000099899999</v>
      </c>
      <c r="H8">
        <f t="shared" si="6"/>
        <v>0</v>
      </c>
    </row>
    <row r="9" spans="1:10" x14ac:dyDescent="0.2">
      <c r="A9" s="1">
        <f t="shared" si="7"/>
        <v>10</v>
      </c>
      <c r="B9" s="1">
        <f t="shared" si="0"/>
        <v>10000</v>
      </c>
      <c r="C9" s="1">
        <f t="shared" si="1"/>
        <v>100000000</v>
      </c>
      <c r="D9" s="1">
        <f t="shared" si="2"/>
        <v>100010001</v>
      </c>
      <c r="E9" s="3">
        <f t="shared" si="3"/>
        <v>9.9990000723693129E-9</v>
      </c>
      <c r="F9" s="3">
        <f t="shared" si="4"/>
        <v>9.9990000000099987E-5</v>
      </c>
      <c r="G9" s="3">
        <f t="shared" si="5"/>
        <v>0.99990000000099988</v>
      </c>
      <c r="H9">
        <f t="shared" si="6"/>
        <v>1</v>
      </c>
    </row>
    <row r="10" spans="1:10" x14ac:dyDescent="0.2">
      <c r="A10" s="1">
        <f t="shared" si="7"/>
        <v>100</v>
      </c>
      <c r="B10" s="1">
        <f t="shared" si="0"/>
        <v>100000</v>
      </c>
      <c r="C10" s="1">
        <f t="shared" si="1"/>
        <v>10000000000</v>
      </c>
      <c r="D10" s="1">
        <f t="shared" si="2"/>
        <v>10000100001</v>
      </c>
      <c r="E10" s="3">
        <f t="shared" si="3"/>
        <v>9.9999009073314937E-11</v>
      </c>
      <c r="F10" s="3">
        <f t="shared" si="4"/>
        <v>9.9999000000000108E-6</v>
      </c>
      <c r="G10" s="3">
        <f t="shared" si="5"/>
        <v>0.99999000000000104</v>
      </c>
      <c r="H10">
        <f t="shared" si="6"/>
        <v>2</v>
      </c>
    </row>
    <row r="11" spans="1:10" x14ac:dyDescent="0.2">
      <c r="A11" s="1">
        <f t="shared" si="7"/>
        <v>1000</v>
      </c>
      <c r="B11" s="1">
        <f t="shared" si="0"/>
        <v>1000000</v>
      </c>
      <c r="C11" s="1">
        <f t="shared" si="1"/>
        <v>1000000000000</v>
      </c>
      <c r="D11" s="1">
        <f t="shared" si="2"/>
        <v>1000001000001</v>
      </c>
      <c r="E11" s="3">
        <f t="shared" si="3"/>
        <v>9.999778782798785E-13</v>
      </c>
      <c r="F11" s="3">
        <f t="shared" si="4"/>
        <v>9.9999899999999993E-7</v>
      </c>
      <c r="G11" s="3">
        <f t="shared" si="5"/>
        <v>0.99999899999999997</v>
      </c>
      <c r="H11">
        <f t="shared" si="6"/>
        <v>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42D2-D735-104F-9684-182A769EB07F}">
  <dimension ref="A1:J16"/>
  <sheetViews>
    <sheetView tabSelected="1" workbookViewId="0">
      <selection activeCell="J35" sqref="J35"/>
    </sheetView>
  </sheetViews>
  <sheetFormatPr baseColWidth="10" defaultRowHeight="16" x14ac:dyDescent="0.2"/>
  <sheetData>
    <row r="1" spans="1:10" x14ac:dyDescent="0.2">
      <c r="A1" t="s">
        <v>0</v>
      </c>
      <c r="B1" t="s">
        <v>41</v>
      </c>
      <c r="C1" t="s">
        <v>44</v>
      </c>
      <c r="D1" t="s">
        <v>45</v>
      </c>
      <c r="E1" t="s">
        <v>42</v>
      </c>
      <c r="F1" t="s">
        <v>43</v>
      </c>
      <c r="G1" t="s">
        <v>51</v>
      </c>
      <c r="I1" t="s">
        <v>46</v>
      </c>
      <c r="J1">
        <v>-33.9</v>
      </c>
    </row>
    <row r="2" spans="1:10" x14ac:dyDescent="0.2">
      <c r="A2">
        <v>0</v>
      </c>
      <c r="B2">
        <f>8.1-3*A2</f>
        <v>8.1</v>
      </c>
      <c r="C2">
        <f>3.1-2*A2</f>
        <v>3.1</v>
      </c>
      <c r="D2">
        <f>-2-A2</f>
        <v>-2</v>
      </c>
      <c r="E2">
        <v>-8.5</v>
      </c>
      <c r="F2">
        <f>-14.1+A2</f>
        <v>-14.1</v>
      </c>
      <c r="G2">
        <f>LOG(10^B2+10^C2+10^D2+10^E2+10^F2)</f>
        <v>8.1000043429576021</v>
      </c>
      <c r="I2" t="s">
        <v>21</v>
      </c>
      <c r="J2">
        <v>-5</v>
      </c>
    </row>
    <row r="3" spans="1:10" x14ac:dyDescent="0.2">
      <c r="A3">
        <f>A2+1</f>
        <v>1</v>
      </c>
      <c r="B3">
        <f t="shared" ref="B3:B16" si="0">8.1-3*A3</f>
        <v>5.0999999999999996</v>
      </c>
      <c r="C3">
        <f t="shared" ref="C3:C16" si="1">3.1-2*A3</f>
        <v>1.1000000000000001</v>
      </c>
      <c r="D3">
        <f t="shared" ref="D3:D16" si="2">-2-A3</f>
        <v>-3</v>
      </c>
      <c r="E3">
        <v>-8.5</v>
      </c>
      <c r="F3">
        <f t="shared" ref="F3:F16" si="3">-14.1+A3</f>
        <v>-13.1</v>
      </c>
      <c r="G3">
        <f t="shared" ref="G3:G16" si="4">LOG(10^B3+10^C3+10^D3+10^E3+10^F3)</f>
        <v>5.1000434307262523</v>
      </c>
      <c r="I3" t="s">
        <v>47</v>
      </c>
      <c r="J3">
        <v>-10.130000000000001</v>
      </c>
    </row>
    <row r="4" spans="1:10" x14ac:dyDescent="0.2">
      <c r="A4">
        <f t="shared" ref="A4:A15" si="5">A3+1</f>
        <v>2</v>
      </c>
      <c r="B4">
        <f t="shared" si="0"/>
        <v>2.0999999999999996</v>
      </c>
      <c r="C4">
        <f t="shared" si="1"/>
        <v>-0.89999999999999991</v>
      </c>
      <c r="D4">
        <f t="shared" si="2"/>
        <v>-4</v>
      </c>
      <c r="E4">
        <v>-8.5</v>
      </c>
      <c r="F4">
        <f t="shared" si="3"/>
        <v>-12.1</v>
      </c>
      <c r="G4">
        <f t="shared" si="4"/>
        <v>2.1004344221178237</v>
      </c>
      <c r="I4" t="s">
        <v>48</v>
      </c>
      <c r="J4">
        <v>-16.63</v>
      </c>
    </row>
    <row r="5" spans="1:10" x14ac:dyDescent="0.2">
      <c r="A5">
        <f t="shared" si="5"/>
        <v>3</v>
      </c>
      <c r="B5">
        <f t="shared" si="0"/>
        <v>-0.90000000000000036</v>
      </c>
      <c r="C5">
        <f t="shared" si="1"/>
        <v>-2.9</v>
      </c>
      <c r="D5">
        <f t="shared" si="2"/>
        <v>-5</v>
      </c>
      <c r="E5">
        <v>-8.5</v>
      </c>
      <c r="F5">
        <f t="shared" si="3"/>
        <v>-11.1</v>
      </c>
      <c r="G5">
        <f t="shared" si="4"/>
        <v>-0.89564446105302897</v>
      </c>
      <c r="I5" t="s">
        <v>49</v>
      </c>
      <c r="J5">
        <v>-22.2</v>
      </c>
    </row>
    <row r="6" spans="1:10" x14ac:dyDescent="0.2">
      <c r="A6">
        <f t="shared" si="5"/>
        <v>4</v>
      </c>
      <c r="B6">
        <f t="shared" si="0"/>
        <v>-3.9000000000000004</v>
      </c>
      <c r="C6">
        <f t="shared" si="1"/>
        <v>-4.9000000000000004</v>
      </c>
      <c r="D6">
        <f t="shared" si="2"/>
        <v>-6</v>
      </c>
      <c r="E6">
        <v>-8.5</v>
      </c>
      <c r="F6">
        <f t="shared" si="3"/>
        <v>-10.1</v>
      </c>
      <c r="G6">
        <f t="shared" si="4"/>
        <v>-3.8554723780066089</v>
      </c>
      <c r="I6" t="s">
        <v>50</v>
      </c>
      <c r="J6">
        <v>-14</v>
      </c>
    </row>
    <row r="7" spans="1:10" x14ac:dyDescent="0.2">
      <c r="A7">
        <f t="shared" si="5"/>
        <v>5</v>
      </c>
      <c r="B7">
        <f t="shared" si="0"/>
        <v>-6.9</v>
      </c>
      <c r="C7">
        <f t="shared" si="1"/>
        <v>-6.9</v>
      </c>
      <c r="D7">
        <f t="shared" si="2"/>
        <v>-7</v>
      </c>
      <c r="E7">
        <v>-8.5</v>
      </c>
      <c r="F7">
        <f t="shared" si="3"/>
        <v>-9.1</v>
      </c>
      <c r="G7">
        <f t="shared" si="4"/>
        <v>-6.4488652382224876</v>
      </c>
    </row>
    <row r="8" spans="1:10" x14ac:dyDescent="0.2">
      <c r="A8">
        <f t="shared" si="5"/>
        <v>6</v>
      </c>
      <c r="B8">
        <f t="shared" si="0"/>
        <v>-9.9</v>
      </c>
      <c r="C8">
        <f t="shared" si="1"/>
        <v>-8.9</v>
      </c>
      <c r="D8">
        <f t="shared" si="2"/>
        <v>-8</v>
      </c>
      <c r="E8">
        <v>-8.5</v>
      </c>
      <c r="F8">
        <f t="shared" si="3"/>
        <v>-8.1</v>
      </c>
      <c r="G8">
        <f t="shared" si="4"/>
        <v>-7.6480032459992184</v>
      </c>
    </row>
    <row r="9" spans="1:10" x14ac:dyDescent="0.2">
      <c r="A9">
        <f t="shared" si="5"/>
        <v>7</v>
      </c>
      <c r="B9">
        <f t="shared" si="0"/>
        <v>-12.9</v>
      </c>
      <c r="C9">
        <f t="shared" si="1"/>
        <v>-10.9</v>
      </c>
      <c r="D9">
        <f t="shared" si="2"/>
        <v>-9</v>
      </c>
      <c r="E9">
        <v>-8.5</v>
      </c>
      <c r="F9">
        <f t="shared" si="3"/>
        <v>-7.1</v>
      </c>
      <c r="G9">
        <f t="shared" si="4"/>
        <v>-7.0777531195912449</v>
      </c>
    </row>
    <row r="10" spans="1:10" x14ac:dyDescent="0.2">
      <c r="A10">
        <f t="shared" si="5"/>
        <v>8</v>
      </c>
      <c r="B10">
        <f t="shared" si="0"/>
        <v>-15.9</v>
      </c>
      <c r="C10">
        <f t="shared" si="1"/>
        <v>-12.9</v>
      </c>
      <c r="D10">
        <f t="shared" si="2"/>
        <v>-10</v>
      </c>
      <c r="E10">
        <v>-8.5</v>
      </c>
      <c r="F10">
        <f t="shared" si="3"/>
        <v>-6.1</v>
      </c>
      <c r="G10">
        <f t="shared" si="4"/>
        <v>-6.0982199521309912</v>
      </c>
    </row>
    <row r="11" spans="1:10" x14ac:dyDescent="0.2">
      <c r="A11">
        <f t="shared" si="5"/>
        <v>9</v>
      </c>
      <c r="B11">
        <f t="shared" si="0"/>
        <v>-18.899999999999999</v>
      </c>
      <c r="C11">
        <f t="shared" si="1"/>
        <v>-14.9</v>
      </c>
      <c r="D11">
        <f t="shared" si="2"/>
        <v>-11</v>
      </c>
      <c r="E11">
        <v>-8.5</v>
      </c>
      <c r="F11">
        <f t="shared" si="3"/>
        <v>-5.0999999999999996</v>
      </c>
      <c r="G11">
        <f t="shared" si="4"/>
        <v>-5.09982659206376</v>
      </c>
    </row>
    <row r="12" spans="1:10" x14ac:dyDescent="0.2">
      <c r="A12">
        <f t="shared" si="5"/>
        <v>10</v>
      </c>
      <c r="B12">
        <f t="shared" si="0"/>
        <v>-21.9</v>
      </c>
      <c r="C12">
        <f t="shared" si="1"/>
        <v>-16.899999999999999</v>
      </c>
      <c r="D12">
        <f t="shared" si="2"/>
        <v>-12</v>
      </c>
      <c r="E12">
        <v>-8.5</v>
      </c>
      <c r="F12">
        <f t="shared" si="3"/>
        <v>-4.0999999999999996</v>
      </c>
      <c r="G12">
        <f t="shared" si="4"/>
        <v>-4.0999827053021134</v>
      </c>
    </row>
    <row r="13" spans="1:10" x14ac:dyDescent="0.2">
      <c r="A13">
        <f t="shared" si="5"/>
        <v>11</v>
      </c>
      <c r="B13">
        <f t="shared" si="0"/>
        <v>-24.9</v>
      </c>
      <c r="C13">
        <f t="shared" si="1"/>
        <v>-18.899999999999999</v>
      </c>
      <c r="D13">
        <f t="shared" si="2"/>
        <v>-13</v>
      </c>
      <c r="E13">
        <v>-8.5</v>
      </c>
      <c r="F13">
        <f t="shared" si="3"/>
        <v>-3.0999999999999996</v>
      </c>
      <c r="G13">
        <f t="shared" si="4"/>
        <v>-3.0999982709912932</v>
      </c>
    </row>
    <row r="14" spans="1:10" x14ac:dyDescent="0.2">
      <c r="A14">
        <f>A13+1</f>
        <v>12</v>
      </c>
      <c r="B14">
        <f t="shared" si="0"/>
        <v>-27.9</v>
      </c>
      <c r="C14">
        <f t="shared" si="1"/>
        <v>-20.9</v>
      </c>
      <c r="D14">
        <f t="shared" si="2"/>
        <v>-14</v>
      </c>
      <c r="E14">
        <v>-8.5</v>
      </c>
      <c r="F14">
        <f t="shared" si="3"/>
        <v>-2.0999999999999996</v>
      </c>
      <c r="G14">
        <f t="shared" si="4"/>
        <v>-2.0999998271037401</v>
      </c>
    </row>
    <row r="15" spans="1:10" x14ac:dyDescent="0.2">
      <c r="A15">
        <f t="shared" si="5"/>
        <v>13</v>
      </c>
      <c r="B15">
        <f t="shared" si="0"/>
        <v>-30.9</v>
      </c>
      <c r="C15">
        <f t="shared" si="1"/>
        <v>-22.9</v>
      </c>
      <c r="D15">
        <f t="shared" si="2"/>
        <v>-15</v>
      </c>
      <c r="E15">
        <v>-8.5</v>
      </c>
      <c r="F15">
        <f t="shared" si="3"/>
        <v>-1.0999999999999996</v>
      </c>
      <c r="G15">
        <f t="shared" si="4"/>
        <v>-1.0999999827104199</v>
      </c>
    </row>
    <row r="16" spans="1:10" x14ac:dyDescent="0.2">
      <c r="A16">
        <f>A15+1</f>
        <v>14</v>
      </c>
      <c r="B16">
        <f t="shared" si="0"/>
        <v>-33.9</v>
      </c>
      <c r="C16">
        <f t="shared" si="1"/>
        <v>-24.9</v>
      </c>
      <c r="D16">
        <f t="shared" si="2"/>
        <v>-16</v>
      </c>
      <c r="E16">
        <v>-8.5</v>
      </c>
      <c r="F16">
        <f t="shared" si="3"/>
        <v>-9.9999999999999645E-2</v>
      </c>
      <c r="G16">
        <f t="shared" si="4"/>
        <v>-9.9999998271042112E-2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 3 Cu hydrolysis</vt:lpstr>
      <vt:lpstr>Ex 4 Hydrolysis of iron</vt:lpstr>
      <vt:lpstr>Example complex distribution</vt:lpstr>
      <vt:lpstr>Ex 5 Flocculation 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 Aeppli</dc:creator>
  <cp:lastModifiedBy>Meret Aeppli</cp:lastModifiedBy>
  <dcterms:created xsi:type="dcterms:W3CDTF">2023-07-07T09:21:45Z</dcterms:created>
  <dcterms:modified xsi:type="dcterms:W3CDTF">2023-09-14T07:30:22Z</dcterms:modified>
</cp:coreProperties>
</file>